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abayomi/AngularProjects/winners-cambridge/downloads/"/>
    </mc:Choice>
  </mc:AlternateContent>
  <xr:revisionPtr revIDLastSave="0" documentId="13_ncr:1_{5B0D8425-2F38-984F-ABD0-FB654C60CD7A}" xr6:coauthVersionLast="47" xr6:coauthVersionMax="47" xr10:uidLastSave="{00000000-0000-0000-0000-000000000000}"/>
  <bookViews>
    <workbookView xWindow="0" yWindow="600" windowWidth="33600" windowHeight="19560" xr2:uid="{00000000-000D-0000-FFFF-FFFF00000000}"/>
  </bookViews>
  <sheets>
    <sheet name="PERSONAL BUDGET" sheetId="1" r:id="rId1"/>
  </sheets>
  <definedNames>
    <definedName name="LastCol">COUNTA('PERSONAL BUDGET'!$4:$4)+1</definedName>
    <definedName name="PrintArea_SET">OFFSET('PERSONAL BUDGET'!$B$2,,,MATCH(REPT("z",255),'PERSONAL BUDGET'!$B:$B),LastCol)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 l="1"/>
  <c r="O13" i="1"/>
  <c r="O14" i="1"/>
  <c r="O15" i="1"/>
  <c r="O16" i="1"/>
  <c r="O17" i="1"/>
  <c r="O18" i="1"/>
  <c r="O19" i="1"/>
  <c r="O20" i="1"/>
  <c r="O21" i="1"/>
  <c r="O22" i="1"/>
  <c r="O23" i="1"/>
  <c r="O24" i="1"/>
  <c r="C34" i="1"/>
  <c r="C9" i="1" l="1"/>
  <c r="D107" i="1" l="1"/>
  <c r="E107" i="1"/>
  <c r="F107" i="1"/>
  <c r="G107" i="1"/>
  <c r="H107" i="1"/>
  <c r="I107" i="1"/>
  <c r="J107" i="1"/>
  <c r="K107" i="1"/>
  <c r="L107" i="1"/>
  <c r="M107" i="1"/>
  <c r="N107" i="1"/>
  <c r="C107" i="1"/>
  <c r="D99" i="1"/>
  <c r="E99" i="1"/>
  <c r="F99" i="1"/>
  <c r="G99" i="1"/>
  <c r="H99" i="1"/>
  <c r="I99" i="1"/>
  <c r="J99" i="1"/>
  <c r="K99" i="1"/>
  <c r="L99" i="1"/>
  <c r="M99" i="1"/>
  <c r="N99" i="1"/>
  <c r="C99" i="1"/>
  <c r="D92" i="1"/>
  <c r="E92" i="1"/>
  <c r="F92" i="1"/>
  <c r="G92" i="1"/>
  <c r="H92" i="1"/>
  <c r="I92" i="1"/>
  <c r="J92" i="1"/>
  <c r="K92" i="1"/>
  <c r="L92" i="1"/>
  <c r="M92" i="1"/>
  <c r="N92" i="1"/>
  <c r="C92" i="1"/>
  <c r="D84" i="1"/>
  <c r="E84" i="1"/>
  <c r="F84" i="1"/>
  <c r="G84" i="1"/>
  <c r="H84" i="1"/>
  <c r="I84" i="1"/>
  <c r="J84" i="1"/>
  <c r="K84" i="1"/>
  <c r="L84" i="1"/>
  <c r="M84" i="1"/>
  <c r="N84" i="1"/>
  <c r="C84" i="1"/>
  <c r="D76" i="1"/>
  <c r="E76" i="1"/>
  <c r="F76" i="1"/>
  <c r="G76" i="1"/>
  <c r="H76" i="1"/>
  <c r="I76" i="1"/>
  <c r="J76" i="1"/>
  <c r="K76" i="1"/>
  <c r="L76" i="1"/>
  <c r="M76" i="1"/>
  <c r="N76" i="1"/>
  <c r="C76" i="1"/>
  <c r="D69" i="1"/>
  <c r="E69" i="1"/>
  <c r="F69" i="1"/>
  <c r="G69" i="1"/>
  <c r="H69" i="1"/>
  <c r="I69" i="1"/>
  <c r="J69" i="1"/>
  <c r="K69" i="1"/>
  <c r="L69" i="1"/>
  <c r="M69" i="1"/>
  <c r="N69" i="1"/>
  <c r="C69" i="1"/>
  <c r="D60" i="1"/>
  <c r="E60" i="1"/>
  <c r="F60" i="1"/>
  <c r="G60" i="1"/>
  <c r="H60" i="1"/>
  <c r="I60" i="1"/>
  <c r="J60" i="1"/>
  <c r="K60" i="1"/>
  <c r="L60" i="1"/>
  <c r="M60" i="1"/>
  <c r="N60" i="1"/>
  <c r="C60" i="1"/>
  <c r="O103" i="1"/>
  <c r="O104" i="1"/>
  <c r="O105" i="1"/>
  <c r="O106" i="1"/>
  <c r="O102" i="1"/>
  <c r="O96" i="1"/>
  <c r="O97" i="1"/>
  <c r="O98" i="1"/>
  <c r="O95" i="1"/>
  <c r="O88" i="1"/>
  <c r="O89" i="1"/>
  <c r="O90" i="1"/>
  <c r="O91" i="1"/>
  <c r="O87" i="1"/>
  <c r="O80" i="1"/>
  <c r="O81" i="1"/>
  <c r="O82" i="1"/>
  <c r="O83" i="1"/>
  <c r="O79" i="1"/>
  <c r="O73" i="1"/>
  <c r="O74" i="1"/>
  <c r="O75" i="1"/>
  <c r="O72" i="1"/>
  <c r="O64" i="1"/>
  <c r="O65" i="1"/>
  <c r="O66" i="1"/>
  <c r="O67" i="1"/>
  <c r="O68" i="1"/>
  <c r="O63" i="1"/>
  <c r="O54" i="1"/>
  <c r="O55" i="1"/>
  <c r="O56" i="1"/>
  <c r="O57" i="1"/>
  <c r="O58" i="1"/>
  <c r="O59" i="1"/>
  <c r="O53" i="1"/>
  <c r="D50" i="1"/>
  <c r="E50" i="1"/>
  <c r="F50" i="1"/>
  <c r="G50" i="1"/>
  <c r="H50" i="1"/>
  <c r="I50" i="1"/>
  <c r="J50" i="1"/>
  <c r="K50" i="1"/>
  <c r="L50" i="1"/>
  <c r="M50" i="1"/>
  <c r="N50" i="1"/>
  <c r="C50" i="1"/>
  <c r="O47" i="1"/>
  <c r="O48" i="1"/>
  <c r="O49" i="1"/>
  <c r="O46" i="1"/>
  <c r="D43" i="1"/>
  <c r="E43" i="1"/>
  <c r="F43" i="1"/>
  <c r="G43" i="1"/>
  <c r="H43" i="1"/>
  <c r="I43" i="1"/>
  <c r="J43" i="1"/>
  <c r="K43" i="1"/>
  <c r="L43" i="1"/>
  <c r="M43" i="1"/>
  <c r="N43" i="1"/>
  <c r="C43" i="1"/>
  <c r="O38" i="1"/>
  <c r="O39" i="1"/>
  <c r="O40" i="1"/>
  <c r="O41" i="1"/>
  <c r="O42" i="1"/>
  <c r="O37" i="1"/>
  <c r="D34" i="1"/>
  <c r="E34" i="1"/>
  <c r="F34" i="1"/>
  <c r="G34" i="1"/>
  <c r="H34" i="1"/>
  <c r="I34" i="1"/>
  <c r="J34" i="1"/>
  <c r="K34" i="1"/>
  <c r="L34" i="1"/>
  <c r="M34" i="1"/>
  <c r="N34" i="1"/>
  <c r="O29" i="1"/>
  <c r="O30" i="1"/>
  <c r="O31" i="1"/>
  <c r="O32" i="1"/>
  <c r="O33" i="1"/>
  <c r="D25" i="1"/>
  <c r="E25" i="1"/>
  <c r="F25" i="1"/>
  <c r="G25" i="1"/>
  <c r="H25" i="1"/>
  <c r="I25" i="1"/>
  <c r="J25" i="1"/>
  <c r="K25" i="1"/>
  <c r="L25" i="1"/>
  <c r="M25" i="1"/>
  <c r="N25" i="1"/>
  <c r="C25" i="1"/>
  <c r="O50" i="1" l="1"/>
  <c r="O99" i="1"/>
  <c r="O92" i="1"/>
  <c r="O84" i="1"/>
  <c r="O76" i="1"/>
  <c r="O69" i="1"/>
  <c r="O60" i="1"/>
  <c r="K110" i="1"/>
  <c r="O43" i="1"/>
  <c r="O34" i="1"/>
  <c r="O25" i="1"/>
  <c r="J110" i="1"/>
  <c r="I110" i="1"/>
  <c r="H110" i="1"/>
  <c r="C110" i="1"/>
  <c r="G110" i="1"/>
  <c r="N110" i="1"/>
  <c r="M110" i="1"/>
  <c r="L110" i="1"/>
  <c r="D110" i="1"/>
  <c r="F110" i="1"/>
  <c r="E110" i="1"/>
  <c r="O107" i="1"/>
  <c r="N9" i="1"/>
  <c r="F9" i="1"/>
  <c r="K9" i="1"/>
  <c r="M9" i="1"/>
  <c r="E9" i="1"/>
  <c r="D9" i="1"/>
  <c r="H9" i="1"/>
  <c r="G9" i="1"/>
  <c r="L9" i="1"/>
  <c r="J9" i="1"/>
  <c r="O8" i="1"/>
  <c r="O7" i="1"/>
  <c r="I9" i="1"/>
  <c r="O6" i="1"/>
  <c r="C111" i="1" l="1"/>
  <c r="K111" i="1"/>
  <c r="I111" i="1"/>
  <c r="H111" i="1"/>
  <c r="E111" i="1"/>
  <c r="M111" i="1"/>
  <c r="G111" i="1"/>
  <c r="O110" i="1"/>
  <c r="J111" i="1"/>
  <c r="L111" i="1"/>
  <c r="F111" i="1"/>
  <c r="N111" i="1"/>
  <c r="D111" i="1"/>
  <c r="O9" i="1"/>
  <c r="O111" i="1" l="1"/>
</calcChain>
</file>

<file path=xl/sharedStrings.xml><?xml version="1.0" encoding="utf-8"?>
<sst xmlns="http://schemas.openxmlformats.org/spreadsheetml/2006/main" count="281" uniqueCount="96">
  <si>
    <t>Utilities</t>
  </si>
  <si>
    <t xml:space="preserve">Groceries </t>
  </si>
  <si>
    <t>Child care</t>
  </si>
  <si>
    <t>Dry cleaning</t>
  </si>
  <si>
    <t>Dining out</t>
  </si>
  <si>
    <t>Housecleaning service</t>
  </si>
  <si>
    <t>Gas/fuel</t>
  </si>
  <si>
    <t>Insurance</t>
  </si>
  <si>
    <t>Repairs</t>
  </si>
  <si>
    <t>Car wash/detailing services</t>
  </si>
  <si>
    <t>Parking</t>
  </si>
  <si>
    <t>Public transportation</t>
  </si>
  <si>
    <t>Cable TV</t>
  </si>
  <si>
    <t>Video/DVD rentals</t>
  </si>
  <si>
    <t>Movies/plays</t>
  </si>
  <si>
    <t>Concerts/clubs</t>
  </si>
  <si>
    <t>Health club dues</t>
  </si>
  <si>
    <t>Prescriptions</t>
  </si>
  <si>
    <t>Co-payments/out-of-pocket</t>
  </si>
  <si>
    <t>Veterinarians/pet medicines</t>
  </si>
  <si>
    <t>Life insurance</t>
  </si>
  <si>
    <t>Plane fare</t>
  </si>
  <si>
    <t>Accommodations</t>
  </si>
  <si>
    <t>Food</t>
  </si>
  <si>
    <t>Souvenirs</t>
  </si>
  <si>
    <t>Pet boarding</t>
  </si>
  <si>
    <t>Rental car</t>
  </si>
  <si>
    <t>Gym fees</t>
  </si>
  <si>
    <t>Sports equipment</t>
  </si>
  <si>
    <t>Team dues</t>
  </si>
  <si>
    <t>Toys/child gear</t>
  </si>
  <si>
    <t>Magazines</t>
  </si>
  <si>
    <t>Internet connection</t>
  </si>
  <si>
    <t>Public radio</t>
  </si>
  <si>
    <t>Public television</t>
  </si>
  <si>
    <t>Charity</t>
  </si>
  <si>
    <t>Clothing</t>
  </si>
  <si>
    <t>Gifts</t>
  </si>
  <si>
    <t>Salon/barber</t>
  </si>
  <si>
    <t>Books</t>
  </si>
  <si>
    <t>Music (CDs, etc.)</t>
  </si>
  <si>
    <t>Long-term savings</t>
  </si>
  <si>
    <t>Credit card payments</t>
  </si>
  <si>
    <t>Income tax (additional)</t>
  </si>
  <si>
    <t>Other obligations</t>
  </si>
  <si>
    <t xml:space="preserve">   Other</t>
  </si>
  <si>
    <t>Total expenses</t>
  </si>
  <si>
    <t>Cash short/extra</t>
  </si>
  <si>
    <t>Total</t>
  </si>
  <si>
    <t>INCOME</t>
  </si>
  <si>
    <t>EXPENSES</t>
  </si>
  <si>
    <t>TRANSPORTATION</t>
  </si>
  <si>
    <t>ENTERTAINMENT</t>
  </si>
  <si>
    <t>HEALTH</t>
  </si>
  <si>
    <t>VACATIONS</t>
  </si>
  <si>
    <t>RECREATION</t>
  </si>
  <si>
    <t>PERSONAL</t>
  </si>
  <si>
    <t>FINANCIAL OBLIGATIONS</t>
  </si>
  <si>
    <t>MISC PAYMENTS</t>
  </si>
  <si>
    <t>TOTALS</t>
  </si>
  <si>
    <t>JAN</t>
  </si>
  <si>
    <t>FEB</t>
  </si>
  <si>
    <t>MAY</t>
  </si>
  <si>
    <t>MAR</t>
  </si>
  <si>
    <t>APR</t>
  </si>
  <si>
    <t>JUN</t>
  </si>
  <si>
    <t>JUL</t>
  </si>
  <si>
    <t>AUG</t>
  </si>
  <si>
    <t>SEP</t>
  </si>
  <si>
    <t>OCT</t>
  </si>
  <si>
    <t>NOV</t>
  </si>
  <si>
    <t>DEC</t>
  </si>
  <si>
    <t>YEAR</t>
  </si>
  <si>
    <t>REVENUE</t>
  </si>
  <si>
    <t>Services</t>
  </si>
  <si>
    <t xml:space="preserve"> </t>
  </si>
  <si>
    <t>SPARKLINE</t>
  </si>
  <si>
    <t>Salaries</t>
  </si>
  <si>
    <t>Investment Income</t>
  </si>
  <si>
    <t>Other Income</t>
  </si>
  <si>
    <t>Tithes</t>
  </si>
  <si>
    <t>Mortgage / Rent</t>
  </si>
  <si>
    <t>Home Maintenance</t>
  </si>
  <si>
    <t>Debt Servicing</t>
  </si>
  <si>
    <t>Home Insurance</t>
  </si>
  <si>
    <t>Medical / Over-the-counter drugs</t>
  </si>
  <si>
    <t>HOME / DAILY LIVING</t>
  </si>
  <si>
    <t>KINGDOM BUDGET</t>
  </si>
  <si>
    <t>Offerings</t>
  </si>
  <si>
    <t>Kingdom Care</t>
  </si>
  <si>
    <t>Outreach Support</t>
  </si>
  <si>
    <t>Helping the Needy</t>
  </si>
  <si>
    <t xml:space="preserve">Giving to Parents </t>
  </si>
  <si>
    <t>DUES / SUBSCRIPTION</t>
  </si>
  <si>
    <t>Document created by Winners Chapel International Cambridge U.K</t>
  </si>
  <si>
    <t xml:space="preserve">                 2026 PERSONAL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</si>
</sst>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00"/>
  </numFmts>
  <fonts count="13" x14ac:knownFonts="1">
    <font>
      <sz val="10"/>
      <color theme="1" tint="0.14993743705557422"/>
      <name val="verdana"/>
      <family val="2"/>
      <scheme val="minor"/>
    </font>
    <font>
      <b/>
      <sz val="10"/>
      <color theme="1" tint="0.14990691854609822"/>
      <name val="Gill Sans MT"/>
      <family val="2"/>
      <scheme val="major"/>
    </font>
    <font>
      <sz val="11"/>
      <color theme="1" tint="0.14993743705557422"/>
      <name val="Gill Sans MT"/>
      <family val="2"/>
      <scheme val="major"/>
    </font>
    <font>
      <sz val="22"/>
      <color theme="1" tint="0.14993743705557422"/>
      <name val="Gill Sans MT"/>
      <family val="2"/>
      <scheme val="major"/>
    </font>
    <font>
      <sz val="12"/>
      <color theme="1" tint="0.14993743705557422"/>
      <name val="verdana"/>
      <family val="2"/>
      <scheme val="minor"/>
    </font>
    <font>
      <sz val="14"/>
      <color theme="0"/>
      <name val="Gill Sans MT"/>
      <family val="2"/>
      <scheme val="major"/>
    </font>
    <font>
      <sz val="11"/>
      <color theme="0"/>
      <name val="verdana"/>
      <family val="2"/>
      <scheme val="minor"/>
    </font>
    <font>
      <sz val="11"/>
      <color theme="1" tint="0.14993743705557422"/>
      <name val="verdana"/>
      <family val="2"/>
      <scheme val="minor"/>
    </font>
    <font>
      <sz val="14"/>
      <color theme="1" tint="0.14993743705557422"/>
      <name val="Gill Sans MT"/>
      <family val="2"/>
      <scheme val="major"/>
    </font>
    <font>
      <sz val="18"/>
      <color theme="1" tint="0.14993743705557422"/>
      <name val="Gill Sans MT"/>
      <family val="2"/>
      <scheme val="major"/>
    </font>
    <font>
      <sz val="14"/>
      <name val="Gill Sans MT"/>
      <family val="2"/>
      <scheme val="major"/>
    </font>
    <font>
      <sz val="48"/>
      <color rgb="FFFF0000"/>
      <name val="Gill Sans MT"/>
      <family val="2"/>
      <scheme val="major"/>
    </font>
    <font>
      <sz val="35"/>
      <color theme="4" tint="-0.249977111117893"/>
      <name val="Gill Sans MT (Headings)"/>
    </font>
  </fonts>
  <fills count="9">
    <fill>
      <patternFill patternType="none"/>
    </fill>
    <fill>
      <patternFill patternType="gray125"/>
    </fill>
    <fill>
      <gradientFill degree="90">
        <stop position="0">
          <color theme="0"/>
        </stop>
        <stop position="1">
          <color theme="5" tint="0.80001220740379042"/>
        </stop>
      </gradientFill>
    </fill>
    <fill>
      <patternFill patternType="solid">
        <fgColor theme="4"/>
        <bgColor indexed="64"/>
      </patternFill>
    </fill>
    <fill>
      <patternFill patternType="solid">
        <fgColor theme="0"/>
        <bgColor auto="1"/>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7F7F7"/>
        <bgColor indexed="64"/>
      </patternFill>
    </fill>
    <fill>
      <patternFill patternType="solid">
        <fgColor theme="3"/>
        <bgColor indexed="64"/>
      </patternFill>
    </fill>
  </fills>
  <borders count="2">
    <border>
      <left/>
      <right/>
      <top/>
      <bottom/>
      <diagonal/>
    </border>
    <border>
      <left/>
      <right/>
      <top/>
      <bottom style="medium">
        <color theme="4" tint="-0.24994659260841701"/>
      </bottom>
      <diagonal/>
    </border>
  </borders>
  <cellStyleXfs count="5">
    <xf numFmtId="0" fontId="0" fillId="7" borderId="0">
      <alignment vertical="center"/>
    </xf>
    <xf numFmtId="0" fontId="3" fillId="0" borderId="0" applyNumberFormat="0" applyFill="0" applyProtection="0">
      <alignment vertical="center"/>
    </xf>
    <xf numFmtId="0" fontId="2" fillId="0" borderId="1" applyNumberFormat="0" applyFill="0" applyProtection="0">
      <alignment vertical="center"/>
    </xf>
    <xf numFmtId="0" fontId="1" fillId="4" borderId="0" applyNumberFormat="0" applyProtection="0">
      <alignment horizontal="left" vertical="center" indent="1"/>
    </xf>
    <xf numFmtId="0" fontId="1" fillId="2" borderId="0" applyNumberFormat="0" applyProtection="0">
      <alignment vertical="center"/>
    </xf>
  </cellStyleXfs>
  <cellXfs count="40">
    <xf numFmtId="0" fontId="0" fillId="7" borderId="0" xfId="0">
      <alignment vertical="center"/>
    </xf>
    <xf numFmtId="0" fontId="4" fillId="6" borderId="0" xfId="0" applyFont="1" applyFill="1">
      <alignment vertical="center"/>
    </xf>
    <xf numFmtId="0" fontId="4" fillId="6" borderId="0" xfId="0" applyFont="1" applyFill="1" applyAlignment="1">
      <alignment horizontal="right" vertical="center" indent="1"/>
    </xf>
    <xf numFmtId="0" fontId="7" fillId="6" borderId="0" xfId="0" applyFont="1" applyFill="1">
      <alignment vertical="center"/>
    </xf>
    <xf numFmtId="0" fontId="7" fillId="6" borderId="0" xfId="0" applyFont="1" applyFill="1" applyAlignment="1">
      <alignment horizontal="right" vertical="center" indent="1"/>
    </xf>
    <xf numFmtId="0" fontId="7" fillId="0" borderId="0" xfId="0" applyFont="1" applyFill="1">
      <alignment vertical="center"/>
    </xf>
    <xf numFmtId="0" fontId="6" fillId="8" borderId="0" xfId="0" applyFont="1" applyFill="1" applyAlignment="1">
      <alignment horizontal="left" vertical="center" indent="1"/>
    </xf>
    <xf numFmtId="164" fontId="6" fillId="8" borderId="0" xfId="0" applyNumberFormat="1" applyFont="1" applyFill="1" applyAlignment="1">
      <alignment horizontal="right" vertical="center"/>
    </xf>
    <xf numFmtId="0" fontId="0" fillId="6" borderId="0" xfId="0" applyFill="1" applyAlignment="1"/>
    <xf numFmtId="0" fontId="0" fillId="6" borderId="0" xfId="0" applyFill="1">
      <alignment vertical="center"/>
    </xf>
    <xf numFmtId="0" fontId="0" fillId="6" borderId="0" xfId="0" applyFill="1" applyAlignment="1">
      <alignment horizontal="right" vertical="center"/>
    </xf>
    <xf numFmtId="0" fontId="7" fillId="6" borderId="0" xfId="0" applyFont="1" applyFill="1" applyAlignment="1"/>
    <xf numFmtId="0" fontId="7" fillId="7" borderId="0" xfId="0" applyFont="1" applyAlignment="1">
      <alignment horizontal="left" vertical="center" indent="1"/>
    </xf>
    <xf numFmtId="164" fontId="7" fillId="7" borderId="0" xfId="0" applyNumberFormat="1" applyFont="1" applyAlignment="1">
      <alignment horizontal="right" vertical="center"/>
    </xf>
    <xf numFmtId="0" fontId="7" fillId="7" borderId="0" xfId="0" applyFont="1" applyAlignment="1">
      <alignment horizontal="right" vertical="center"/>
    </xf>
    <xf numFmtId="0" fontId="7" fillId="7" borderId="0" xfId="0" applyFont="1" applyAlignment="1">
      <alignment horizontal="left" vertical="center"/>
    </xf>
    <xf numFmtId="0" fontId="8" fillId="6" borderId="0" xfId="0" applyFont="1" applyFill="1" applyAlignment="1"/>
    <xf numFmtId="0" fontId="8" fillId="6" borderId="0" xfId="0" applyFont="1" applyFill="1">
      <alignment vertical="center"/>
    </xf>
    <xf numFmtId="0" fontId="10" fillId="6" borderId="0" xfId="0" applyFont="1" applyFill="1" applyAlignment="1"/>
    <xf numFmtId="0" fontId="10" fillId="7" borderId="0" xfId="0" applyFont="1" applyAlignment="1">
      <alignment horizontal="left" vertical="center" indent="1"/>
    </xf>
    <xf numFmtId="0" fontId="10" fillId="6" borderId="0" xfId="0" applyFont="1" applyFill="1">
      <alignment vertical="center"/>
    </xf>
    <xf numFmtId="0" fontId="0" fillId="0" borderId="0" xfId="0" applyFill="1">
      <alignment vertical="center"/>
    </xf>
    <xf numFmtId="0" fontId="10" fillId="0" borderId="0" xfId="0" applyFont="1" applyFill="1">
      <alignment vertical="center"/>
    </xf>
    <xf numFmtId="0" fontId="8" fillId="0" borderId="0" xfId="0" applyFont="1" applyFill="1">
      <alignment vertical="center"/>
    </xf>
    <xf numFmtId="0" fontId="5" fillId="8" borderId="0" xfId="3" applyFont="1" applyFill="1">
      <alignment horizontal="left" vertical="center" indent="1"/>
    </xf>
    <xf numFmtId="0" fontId="5" fillId="3" borderId="0" xfId="3" applyFont="1" applyFill="1" applyAlignment="1">
      <alignment horizontal="right" vertical="center" indent="1"/>
    </xf>
    <xf numFmtId="0" fontId="5" fillId="8" borderId="0" xfId="3" applyFont="1" applyFill="1" applyAlignment="1">
      <alignment horizontal="right" vertical="center" indent="1"/>
    </xf>
    <xf numFmtId="0" fontId="9" fillId="6" borderId="0" xfId="0" applyFont="1" applyFill="1" applyAlignment="1"/>
    <xf numFmtId="0" fontId="5" fillId="3" borderId="0" xfId="2" applyFont="1" applyFill="1" applyBorder="1" applyAlignment="1">
      <alignment horizontal="left" vertical="center" indent="1"/>
    </xf>
    <xf numFmtId="0" fontId="5" fillId="3" borderId="0" xfId="2" applyFont="1" applyFill="1" applyBorder="1" applyAlignment="1">
      <alignment horizontal="right" vertical="center" indent="1"/>
    </xf>
    <xf numFmtId="0" fontId="5" fillId="3" borderId="0" xfId="2" applyFont="1" applyFill="1" applyBorder="1" applyAlignment="1">
      <alignment horizontal="right" vertical="center"/>
    </xf>
    <xf numFmtId="0" fontId="9" fillId="6" borderId="0" xfId="0" applyFont="1" applyFill="1">
      <alignment vertical="center"/>
    </xf>
    <xf numFmtId="0" fontId="9" fillId="0" borderId="0" xfId="0" applyFont="1" applyFill="1">
      <alignment vertical="center"/>
    </xf>
    <xf numFmtId="0" fontId="10" fillId="7" borderId="0" xfId="0" applyFont="1" applyAlignment="1">
      <alignment horizontal="right" vertical="center" indent="1"/>
    </xf>
    <xf numFmtId="0" fontId="10" fillId="7" borderId="0" xfId="0" applyFont="1">
      <alignment vertical="center"/>
    </xf>
    <xf numFmtId="165" fontId="7" fillId="7" borderId="0" xfId="0" applyNumberFormat="1" applyFont="1" applyAlignment="1">
      <alignment horizontal="right" vertical="center" indent="1"/>
    </xf>
    <xf numFmtId="165" fontId="6" fillId="3" borderId="0" xfId="0" applyNumberFormat="1" applyFont="1" applyFill="1" applyAlignment="1">
      <alignment horizontal="right" vertical="center" indent="1"/>
    </xf>
    <xf numFmtId="165" fontId="6" fillId="8" borderId="0" xfId="0" applyNumberFormat="1" applyFont="1" applyFill="1" applyAlignment="1">
      <alignment horizontal="right" vertical="center" indent="1"/>
    </xf>
    <xf numFmtId="0" fontId="12" fillId="5" borderId="0" xfId="1" applyFont="1" applyFill="1" applyAlignment="1">
      <alignment horizontal="left" vertical="center" indent="1"/>
    </xf>
    <xf numFmtId="0" fontId="11" fillId="5" borderId="0" xfId="1" applyFont="1" applyFill="1" applyAlignment="1">
      <alignment horizontal="left" vertical="center" indent="1"/>
    </xf>
  </cellXfs>
  <cellStyles count="5">
    <cellStyle name="Heading 1" xfId="1" builtinId="16" customBuiltin="1"/>
    <cellStyle name="Heading 2" xfId="2" builtinId="17" customBuiltin="1"/>
    <cellStyle name="Heading 3" xfId="3" builtinId="18" customBuiltin="1"/>
    <cellStyle name="Heading 4" xfId="4" builtinId="19" hidden="1" customBuiltin="1"/>
    <cellStyle name="Normal" xfId="0" builtinId="0" customBuiltin="1"/>
  </cellStyles>
  <dxfs count="446">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ill>
        <patternFill>
          <bgColor rgb="FFC00000"/>
        </patternFill>
      </fill>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textRotation="0" wrapText="0" indent="0"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fill>
        <patternFill patternType="solid">
          <fgColor indexed="64"/>
          <bgColor theme="3"/>
        </patternFill>
      </fill>
      <alignment horizontal="left" vertical="center" textRotation="0" wrapText="0" relativeIndent="1" justifyLastLine="0" shrinkToFit="0" readingOrder="0"/>
    </dxf>
    <dxf>
      <font>
        <strike val="0"/>
        <outline val="0"/>
        <shadow val="0"/>
        <u val="none"/>
        <vertAlign val="baseline"/>
        <sz val="11"/>
        <color theme="0"/>
        <name val="verdana"/>
        <family val="2"/>
        <scheme val="minor"/>
      </font>
      <fill>
        <patternFill patternType="solid">
          <fgColor indexed="64"/>
          <bgColor theme="1"/>
        </patternFill>
      </fill>
    </dxf>
    <dxf>
      <font>
        <b val="0"/>
        <strike val="0"/>
        <outline val="0"/>
        <shadow val="0"/>
        <u val="none"/>
        <vertAlign val="baseline"/>
        <sz val="14"/>
        <color theme="0"/>
        <name val="Gill Sans MT"/>
        <family val="2"/>
        <scheme val="major"/>
      </font>
      <fill>
        <patternFill patternType="solid">
          <fgColor indexed="64"/>
          <bgColor theme="1"/>
        </patternFill>
      </fill>
    </dxf>
    <dxf>
      <font>
        <b val="0"/>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0"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numFmt numFmtId="165" formatCode="&quot;£&quot;#,##0.00"/>
    </dxf>
    <dxf>
      <font>
        <b val="0"/>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0"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fill>
        <patternFill patternType="solid">
          <fgColor indexed="64"/>
          <bgColor rgb="FFF7F7F7"/>
        </patternFill>
      </fill>
      <alignment horizontal="righ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quot;£&quot;#,##0.0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5" formatCode="&quot;£&quot;#,##0.0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auto="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font>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numFmt numFmtId="165" formatCode="&quot;£&quot;#,##0.00"/>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4"/>
        <color auto="1"/>
        <name val="Gill Sans MT"/>
        <family val="2"/>
        <scheme val="major"/>
      </font>
      <fill>
        <patternFill patternType="solid">
          <fgColor indexed="64"/>
          <bgColor rgb="FFF7F7F7"/>
        </patternFill>
      </fill>
      <alignment horizontal="right" vertical="center" textRotation="0" wrapText="0" indent="1" justifyLastLine="0" shrinkToFit="0" readingOrder="0"/>
    </dxf>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fill>
        <patternFill patternType="solid">
          <fgColor theme="6" tint="0.79998168889431442"/>
          <bgColor theme="6" tint="0.79998168889431442"/>
        </patternFill>
      </fill>
    </dxf>
    <dxf>
      <font>
        <b val="0"/>
        <i val="0"/>
        <color theme="6" tint="-0.499984740745262"/>
      </font>
      <fill>
        <patternFill patternType="solid">
          <fgColor theme="6" tint="0.79998168889431442"/>
          <bgColor theme="6" tint="0.79998168889431442"/>
        </patternFill>
      </fill>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border>
        <top style="thin">
          <color theme="6" tint="-0.24994659260841701"/>
        </top>
      </border>
    </dxf>
    <dxf>
      <font>
        <b val="0"/>
        <i val="0"/>
        <color theme="6" tint="-0.499984740745262"/>
      </font>
      <border>
        <bottom style="thin">
          <color theme="6" tint="-0.24994659260841701"/>
        </bottom>
      </border>
    </dxf>
    <dxf>
      <font>
        <b val="0"/>
        <i val="0"/>
        <color theme="6" tint="-0.499984740745262"/>
      </font>
      <border>
        <top style="thin">
          <color theme="6" tint="-0.24994659260841701"/>
        </top>
        <bottom style="thin">
          <color theme="6" tint="-0.24994659260841701"/>
        </bottom>
      </border>
    </dxf>
    <dxf>
      <font>
        <b/>
        <i val="0"/>
        <color theme="5" tint="-0.499984740745262"/>
      </font>
      <fill>
        <patternFill>
          <bgColor theme="5" tint="0.79998168889431442"/>
        </patternFill>
      </fill>
    </dxf>
    <dxf>
      <font>
        <b/>
        <i val="0"/>
        <color theme="5" tint="-0.499984740745262"/>
      </font>
      <fill>
        <patternFill>
          <bgColor theme="5" tint="0.79998168889431442"/>
        </patternFill>
      </fill>
    </dxf>
    <dxf>
      <font>
        <b val="0"/>
        <i val="0"/>
        <color theme="5" tint="-0.499984740745262"/>
      </font>
      <fill>
        <patternFill patternType="solid">
          <fgColor theme="5" tint="0.79998168889431442"/>
          <bgColor theme="5" tint="0.79998168889431442"/>
        </patternFill>
      </fill>
    </dxf>
    <dxf>
      <font>
        <b val="0"/>
        <i val="0"/>
        <color theme="5" tint="-0.499984740745262"/>
      </font>
      <fill>
        <patternFill patternType="solid">
          <fgColor theme="5" tint="0.79998168889431442"/>
          <bgColor theme="5" tint="0.79998168889431442"/>
        </patternFill>
      </fill>
    </dxf>
    <dxf>
      <font>
        <b/>
        <i val="0"/>
        <color theme="5" tint="-0.499984740745262"/>
      </font>
      <fill>
        <patternFill>
          <bgColor theme="5" tint="0.79998168889431442"/>
        </patternFill>
      </fill>
    </dxf>
    <dxf>
      <font>
        <b/>
        <i val="0"/>
        <color theme="5" tint="-0.499984740745262"/>
      </font>
    </dxf>
    <dxf>
      <font>
        <b val="0"/>
        <i val="0"/>
        <color theme="5" tint="-0.499984740745262"/>
      </font>
      <border>
        <top style="thin">
          <color theme="5" tint="-0.24994659260841701"/>
        </top>
      </border>
    </dxf>
    <dxf>
      <font>
        <b val="0"/>
        <i val="0"/>
        <color theme="5" tint="-0.499984740745262"/>
      </font>
      <border>
        <bottom style="thin">
          <color theme="5" tint="-0.24994659260841701"/>
        </bottom>
      </border>
    </dxf>
    <dxf>
      <font>
        <b val="0"/>
        <i val="0"/>
        <color theme="5" tint="-0.499984740745262"/>
      </font>
      <border>
        <top style="thin">
          <color theme="5" tint="-0.24994659260841701"/>
        </top>
        <bottom style="thin">
          <color theme="5" tint="-0.24994659260841701"/>
        </bottom>
      </border>
    </dxf>
    <dxf>
      <font>
        <b/>
        <i val="0"/>
        <color theme="4" tint="-0.499984740745262"/>
      </font>
      <fill>
        <patternFill>
          <bgColor theme="4" tint="0.79998168889431442"/>
        </patternFill>
      </fill>
    </dxf>
    <dxf>
      <font>
        <b/>
        <i val="0"/>
        <color theme="4" tint="-0.499984740745262"/>
      </font>
      <fill>
        <patternFill>
          <bgColor theme="4" tint="0.79998168889431442"/>
        </patternFill>
      </fill>
    </dxf>
    <dxf>
      <font>
        <b val="0"/>
        <i val="0"/>
        <color theme="4" tint="-0.499984740745262"/>
      </font>
      <fill>
        <patternFill>
          <bgColor theme="4" tint="0.79998168889431442"/>
        </patternFill>
      </fill>
    </dxf>
    <dxf>
      <font>
        <b val="0"/>
        <i val="0"/>
        <color theme="4" tint="-0.499984740745262"/>
      </font>
      <fill>
        <patternFill patternType="solid">
          <fgColor theme="4" tint="0.79995117038483843"/>
          <bgColor theme="4" tint="0.79998168889431442"/>
        </patternFill>
      </fill>
    </dxf>
    <dxf>
      <font>
        <b/>
        <i val="0"/>
        <color theme="4" tint="-0.499984740745262"/>
      </font>
      <fill>
        <patternFill>
          <bgColor theme="4" tint="0.79998168889431442"/>
        </patternFill>
      </fill>
    </dxf>
    <dxf>
      <font>
        <b/>
        <i val="0"/>
        <color theme="4" tint="-0.499984740745262"/>
      </font>
    </dxf>
    <dxf>
      <font>
        <b val="0"/>
        <i val="0"/>
        <color theme="4" tint="-0.499984740745262"/>
      </font>
      <fill>
        <patternFill patternType="none">
          <bgColor auto="1"/>
        </patternFill>
      </fill>
      <border>
        <top style="thin">
          <color theme="4" tint="-0.24994659260841701"/>
        </top>
      </border>
    </dxf>
    <dxf>
      <border diagonalUp="0" diagonalDown="0">
        <left/>
        <right/>
        <top/>
        <bottom style="thin">
          <color theme="4" tint="-0.499984740745262"/>
        </bottom>
        <vertical/>
        <horizontal/>
      </border>
    </dxf>
    <dxf>
      <font>
        <b val="0"/>
        <i val="0"/>
        <color theme="4" tint="-0.499984740745262"/>
      </font>
      <border>
        <top style="thin">
          <color theme="4" tint="-0.24994659260841701"/>
        </top>
        <bottom style="thin">
          <color theme="4" tint="-0.24994659260841701"/>
        </bottom>
      </border>
    </dxf>
  </dxfs>
  <tableStyles count="4" defaultTableStyle="Personal Budget - Expense" defaultPivotStyle="PivotStyleLight16">
    <tableStyle name="Persona Budget - Revenue" pivot="0" count="9" xr9:uid="{00000000-0011-0000-FFFF-FFFF00000000}">
      <tableStyleElement type="wholeTable" dxfId="445"/>
      <tableStyleElement type="headerRow" dxfId="444"/>
      <tableStyleElement type="totalRow" dxfId="443"/>
      <tableStyleElement type="firstColumn" dxfId="442"/>
      <tableStyleElement type="lastColumn" dxfId="441"/>
      <tableStyleElement type="firstRowStripe" dxfId="440"/>
      <tableStyleElement type="firstColumnStripe" dxfId="439"/>
      <tableStyleElement type="firstTotalCell" dxfId="438"/>
      <tableStyleElement type="lastTotalCell" dxfId="437"/>
    </tableStyle>
    <tableStyle name="Personal Budget - Expense" pivot="0" count="9" xr9:uid="{00000000-0011-0000-FFFF-FFFF01000000}">
      <tableStyleElement type="wholeTable" dxfId="436"/>
      <tableStyleElement type="headerRow" dxfId="435"/>
      <tableStyleElement type="totalRow" dxfId="434"/>
      <tableStyleElement type="firstColumn" dxfId="433"/>
      <tableStyleElement type="lastColumn" dxfId="432"/>
      <tableStyleElement type="firstRowStripe" dxfId="431"/>
      <tableStyleElement type="firstColumnStripe" dxfId="430"/>
      <tableStyleElement type="firstTotalCell" dxfId="429"/>
      <tableStyleElement type="lastTotalCell" dxfId="428"/>
    </tableStyle>
    <tableStyle name="Personal Budget - Total" pivot="0" count="9" xr9:uid="{00000000-0011-0000-FFFF-FFFF02000000}">
      <tableStyleElement type="wholeTable" dxfId="427"/>
      <tableStyleElement type="headerRow" dxfId="426"/>
      <tableStyleElement type="totalRow" dxfId="425"/>
      <tableStyleElement type="firstColumn" dxfId="424"/>
      <tableStyleElement type="lastColumn" dxfId="423"/>
      <tableStyleElement type="firstRowStripe" dxfId="422"/>
      <tableStyleElement type="firstColumnStripe" dxfId="421"/>
      <tableStyleElement type="firstTotalCell" dxfId="420"/>
      <tableStyleElement type="lastTotalCell" dxfId="419"/>
    </tableStyle>
    <tableStyle name="Table Style 1" pivot="0" count="6" xr9:uid="{456F6818-18F1-E948-8739-F0108FE3AA10}">
      <tableStyleElement type="wholeTable" dxfId="418"/>
      <tableStyleElement type="headerRow" dxfId="417"/>
      <tableStyleElement type="totalRow" dxfId="416"/>
      <tableStyleElement type="firstRowStripe" dxfId="415"/>
      <tableStyleElement type="secondRowStripe" dxfId="414"/>
      <tableStyleElement type="secondColumnStripe" dxfId="413"/>
    </tableStyle>
  </tableStyles>
  <colors>
    <mruColors>
      <color rgb="FFF7F7F7"/>
      <color rgb="FFF3F8FF"/>
      <color rgb="FFE6F8FA"/>
      <color rgb="FFEFF5FF"/>
      <color rgb="FFD6E8F6"/>
      <color rgb="FFE6E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cicambridge.org/download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203200</xdr:colOff>
      <xdr:row>1</xdr:row>
      <xdr:rowOff>520700</xdr:rowOff>
    </xdr:from>
    <xdr:to>
      <xdr:col>1</xdr:col>
      <xdr:colOff>2070100</xdr:colOff>
      <xdr:row>1</xdr:row>
      <xdr:rowOff>1143000</xdr:rowOff>
    </xdr:to>
    <xdr:pic>
      <xdr:nvPicPr>
        <xdr:cNvPr id="5" name="Picture 4">
          <a:hlinkClick xmlns:r="http://schemas.openxmlformats.org/officeDocument/2006/relationships" r:id="rId1"/>
          <a:extLst>
            <a:ext uri="{FF2B5EF4-FFF2-40B4-BE49-F238E27FC236}">
              <a16:creationId xmlns:a16="http://schemas.microsoft.com/office/drawing/2014/main" id="{2B2D26D5-5DD6-CC5D-13A4-AF8008B0C3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900" y="774700"/>
          <a:ext cx="1866900" cy="622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5:P9" totalsRowCount="1" headerRowDxfId="412" dataDxfId="411" totalsRowDxfId="410">
  <tableColumns count="15">
    <tableColumn id="1" xr3:uid="{00000000-0010-0000-0000-000001000000}" name="INCOME" totalsRowLabel="Total" dataDxfId="409" totalsRowDxfId="14"/>
    <tableColumn id="2" xr3:uid="{00000000-0010-0000-0000-000002000000}" name="JAN" totalsRowFunction="sum" dataDxfId="408" totalsRowDxfId="13"/>
    <tableColumn id="3" xr3:uid="{00000000-0010-0000-0000-000003000000}" name="FEB" totalsRowFunction="sum" dataDxfId="407" totalsRowDxfId="12"/>
    <tableColumn id="4" xr3:uid="{00000000-0010-0000-0000-000004000000}" name="MAR" totalsRowFunction="sum" dataDxfId="406" totalsRowDxfId="11"/>
    <tableColumn id="5" xr3:uid="{00000000-0010-0000-0000-000005000000}" name="APR" totalsRowFunction="sum" dataDxfId="405" totalsRowDxfId="10"/>
    <tableColumn id="6" xr3:uid="{00000000-0010-0000-0000-000006000000}" name="MAY" totalsRowFunction="sum" dataDxfId="404" totalsRowDxfId="9"/>
    <tableColumn id="7" xr3:uid="{00000000-0010-0000-0000-000007000000}" name="JUN" totalsRowFunction="sum" dataDxfId="403" totalsRowDxfId="8"/>
    <tableColumn id="8" xr3:uid="{00000000-0010-0000-0000-000008000000}" name="JUL" totalsRowFunction="sum" dataDxfId="402" totalsRowDxfId="7"/>
    <tableColumn id="9" xr3:uid="{00000000-0010-0000-0000-000009000000}" name="AUG" totalsRowFunction="sum" dataDxfId="401" totalsRowDxfId="6"/>
    <tableColumn id="10" xr3:uid="{00000000-0010-0000-0000-00000A000000}" name="SEP" totalsRowFunction="sum" dataDxfId="400" totalsRowDxfId="5"/>
    <tableColumn id="11" xr3:uid="{00000000-0010-0000-0000-00000B000000}" name="OCT" totalsRowFunction="sum" dataDxfId="399" totalsRowDxfId="4"/>
    <tableColumn id="12" xr3:uid="{00000000-0010-0000-0000-00000C000000}" name="NOV" totalsRowFunction="sum" dataDxfId="398" totalsRowDxfId="3"/>
    <tableColumn id="13" xr3:uid="{00000000-0010-0000-0000-00000D000000}" name="DEC" totalsRowFunction="sum" dataDxfId="397" totalsRowDxfId="2"/>
    <tableColumn id="14" xr3:uid="{00000000-0010-0000-0000-00000E000000}" name="YEAR" totalsRowFunction="sum" dataDxfId="396" totalsRowDxfId="1">
      <calculatedColumnFormula>SUM(tblIncome[[#This Row],[JAN]:[DEC]])</calculatedColumnFormula>
    </tableColumn>
    <tableColumn id="15" xr3:uid="{00000000-0010-0000-0000-00000F000000}" name="SPARKLINE" dataDxfId="395" totalsRowDxfId="0"/>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Personal" displayName="tblPersonal" ref="B86:P92" totalsRowCount="1" headerRowDxfId="130" dataDxfId="129" totalsRowDxfId="128">
  <tableColumns count="15">
    <tableColumn id="1" xr3:uid="{00000000-0010-0000-0900-000001000000}" name="PERSONAL" totalsRowLabel="Total" dataDxfId="127" totalsRowDxfId="126"/>
    <tableColumn id="2" xr3:uid="{00000000-0010-0000-0900-000002000000}" name="JAN" totalsRowFunction="sum" dataDxfId="125" totalsRowDxfId="124"/>
    <tableColumn id="3" xr3:uid="{00000000-0010-0000-0900-000003000000}" name="FEB" totalsRowFunction="sum" dataDxfId="123" totalsRowDxfId="122"/>
    <tableColumn id="4" xr3:uid="{00000000-0010-0000-0900-000004000000}" name="MAR" totalsRowFunction="sum" dataDxfId="121" totalsRowDxfId="120"/>
    <tableColumn id="5" xr3:uid="{00000000-0010-0000-0900-000005000000}" name="APR" totalsRowFunction="sum" dataDxfId="119" totalsRowDxfId="118"/>
    <tableColumn id="6" xr3:uid="{00000000-0010-0000-0900-000006000000}" name="MAY" totalsRowFunction="sum" dataDxfId="117" totalsRowDxfId="116"/>
    <tableColumn id="7" xr3:uid="{00000000-0010-0000-0900-000007000000}" name="JUN" totalsRowFunction="sum" dataDxfId="115" totalsRowDxfId="114"/>
    <tableColumn id="8" xr3:uid="{00000000-0010-0000-0900-000008000000}" name="JUL" totalsRowFunction="sum" dataDxfId="113" totalsRowDxfId="112"/>
    <tableColumn id="9" xr3:uid="{00000000-0010-0000-0900-000009000000}" name="AUG" totalsRowFunction="sum" dataDxfId="111" totalsRowDxfId="110"/>
    <tableColumn id="10" xr3:uid="{00000000-0010-0000-0900-00000A000000}" name="SEP" totalsRowFunction="sum" dataDxfId="109" totalsRowDxfId="108"/>
    <tableColumn id="11" xr3:uid="{00000000-0010-0000-0900-00000B000000}" name="OCT" totalsRowFunction="sum" dataDxfId="107" totalsRowDxfId="106"/>
    <tableColumn id="12" xr3:uid="{00000000-0010-0000-0900-00000C000000}" name="NOV" totalsRowFunction="sum" dataDxfId="105" totalsRowDxfId="104"/>
    <tableColumn id="13" xr3:uid="{00000000-0010-0000-0900-00000D000000}" name="DEC" totalsRowFunction="sum" dataDxfId="103" totalsRowDxfId="102"/>
    <tableColumn id="14" xr3:uid="{00000000-0010-0000-0900-00000E000000}" name="YEAR" totalsRowFunction="sum" dataDxfId="101" totalsRowDxfId="100">
      <calculatedColumnFormula>SUM(tblPersonal[[#This Row],[JAN]:[DEC]])</calculatedColumnFormula>
    </tableColumn>
    <tableColumn id="15" xr3:uid="{00000000-0010-0000-0900-00000F000000}" name=" " dataDxfId="99" totalsRowDxfId="98"/>
  </tableColumns>
  <tableStyleInfo name="Table Style 1" showFirstColumn="0" showLastColumn="0" showRowStripes="0" showColumnStripes="1"/>
  <extLst>
    <ext xmlns:x14="http://schemas.microsoft.com/office/spreadsheetml/2009/9/main" uri="{504A1905-F514-4f6f-8877-14C23A59335A}">
      <x14:table altText="Personal Expenses" altTextSummary="Enter your personal expenses for the year, separated by month."/>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Financial" displayName="tblFinancial" ref="B94:P99" totalsRowCount="1" headerRowDxfId="97" dataDxfId="96" totalsRowDxfId="95">
  <tableColumns count="15">
    <tableColumn id="1" xr3:uid="{00000000-0010-0000-0A00-000001000000}" name="FINANCIAL OBLIGATIONS" totalsRowLabel="Total" dataDxfId="94" totalsRowDxfId="93"/>
    <tableColumn id="2" xr3:uid="{00000000-0010-0000-0A00-000002000000}" name="JAN" totalsRowFunction="sum" dataDxfId="92" totalsRowDxfId="91"/>
    <tableColumn id="3" xr3:uid="{00000000-0010-0000-0A00-000003000000}" name="FEB" totalsRowFunction="sum" dataDxfId="90" totalsRowDxfId="89"/>
    <tableColumn id="4" xr3:uid="{00000000-0010-0000-0A00-000004000000}" name="MAR" totalsRowFunction="sum" dataDxfId="88" totalsRowDxfId="87"/>
    <tableColumn id="5" xr3:uid="{00000000-0010-0000-0A00-000005000000}" name="APR" totalsRowFunction="sum" dataDxfId="86" totalsRowDxfId="85"/>
    <tableColumn id="6" xr3:uid="{00000000-0010-0000-0A00-000006000000}" name="MAY" totalsRowFunction="sum" dataDxfId="84" totalsRowDxfId="83"/>
    <tableColumn id="7" xr3:uid="{00000000-0010-0000-0A00-000007000000}" name="JUN" totalsRowFunction="sum" dataDxfId="82" totalsRowDxfId="81"/>
    <tableColumn id="8" xr3:uid="{00000000-0010-0000-0A00-000008000000}" name="JUL" totalsRowFunction="sum" dataDxfId="80" totalsRowDxfId="79"/>
    <tableColumn id="9" xr3:uid="{00000000-0010-0000-0A00-000009000000}" name="AUG" totalsRowFunction="sum" dataDxfId="78" totalsRowDxfId="77"/>
    <tableColumn id="10" xr3:uid="{00000000-0010-0000-0A00-00000A000000}" name="SEP" totalsRowFunction="sum" dataDxfId="76" totalsRowDxfId="75"/>
    <tableColumn id="11" xr3:uid="{00000000-0010-0000-0A00-00000B000000}" name="OCT" totalsRowFunction="sum" dataDxfId="74" totalsRowDxfId="73"/>
    <tableColumn id="12" xr3:uid="{00000000-0010-0000-0A00-00000C000000}" name="NOV" totalsRowFunction="sum" dataDxfId="72" totalsRowDxfId="71"/>
    <tableColumn id="13" xr3:uid="{00000000-0010-0000-0A00-00000D000000}" name="DEC" totalsRowFunction="sum" dataDxfId="70" totalsRowDxfId="69"/>
    <tableColumn id="14" xr3:uid="{00000000-0010-0000-0A00-00000E000000}" name="YEAR" totalsRowFunction="sum" dataDxfId="68" totalsRowDxfId="67">
      <calculatedColumnFormula>SUM(tblFinancial[[#This Row],[JAN]:[DEC]])</calculatedColumnFormula>
    </tableColumn>
    <tableColumn id="15" xr3:uid="{00000000-0010-0000-0A00-00000F000000}" name=" " dataDxfId="66" totalsRowDxfId="65"/>
  </tableColumns>
  <tableStyleInfo name="Table Style 1" showFirstColumn="0" showLastColumn="0" showRowStripes="0" showColumnStripes="1"/>
  <extLst>
    <ext xmlns:x14="http://schemas.microsoft.com/office/spreadsheetml/2009/9/main" uri="{504A1905-F514-4f6f-8877-14C23A59335A}">
      <x14:table altText="Financial Expenses" altTextSummary="Enter your financial expenses for the year, separated by month."/>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blMisc" displayName="tblMisc" ref="B101:P107" totalsRowCount="1" headerRowDxfId="64" dataDxfId="63" totalsRowDxfId="62">
  <tableColumns count="15">
    <tableColumn id="1" xr3:uid="{00000000-0010-0000-0B00-000001000000}" name="MISC PAYMENTS" totalsRowLabel="Total" totalsRowDxfId="61"/>
    <tableColumn id="2" xr3:uid="{00000000-0010-0000-0B00-000002000000}" name="JAN" totalsRowFunction="sum" dataDxfId="60" totalsRowDxfId="59"/>
    <tableColumn id="3" xr3:uid="{00000000-0010-0000-0B00-000003000000}" name="FEB" totalsRowFunction="sum" dataDxfId="58" totalsRowDxfId="57"/>
    <tableColumn id="4" xr3:uid="{00000000-0010-0000-0B00-000004000000}" name="MAR" totalsRowFunction="sum" dataDxfId="56" totalsRowDxfId="55"/>
    <tableColumn id="5" xr3:uid="{00000000-0010-0000-0B00-000005000000}" name="APR" totalsRowFunction="sum" dataDxfId="54" totalsRowDxfId="53"/>
    <tableColumn id="6" xr3:uid="{00000000-0010-0000-0B00-000006000000}" name="MAY" totalsRowFunction="sum" dataDxfId="52" totalsRowDxfId="51"/>
    <tableColumn id="7" xr3:uid="{00000000-0010-0000-0B00-000007000000}" name="JUN" totalsRowFunction="sum" dataDxfId="50" totalsRowDxfId="49"/>
    <tableColumn id="8" xr3:uid="{00000000-0010-0000-0B00-000008000000}" name="JUL" totalsRowFunction="sum" dataDxfId="48" totalsRowDxfId="47"/>
    <tableColumn id="9" xr3:uid="{00000000-0010-0000-0B00-000009000000}" name="AUG" totalsRowFunction="sum" dataDxfId="46" totalsRowDxfId="45"/>
    <tableColumn id="10" xr3:uid="{00000000-0010-0000-0B00-00000A000000}" name="SEP" totalsRowFunction="sum" dataDxfId="44" totalsRowDxfId="43"/>
    <tableColumn id="11" xr3:uid="{00000000-0010-0000-0B00-00000B000000}" name="OCT" totalsRowFunction="sum" dataDxfId="42" totalsRowDxfId="41"/>
    <tableColumn id="12" xr3:uid="{00000000-0010-0000-0B00-00000C000000}" name="NOV" totalsRowFunction="sum" dataDxfId="40" totalsRowDxfId="39"/>
    <tableColumn id="13" xr3:uid="{00000000-0010-0000-0B00-00000D000000}" name="DEC" totalsRowFunction="sum" dataDxfId="38" totalsRowDxfId="37"/>
    <tableColumn id="14" xr3:uid="{00000000-0010-0000-0B00-00000E000000}" name="YEAR" totalsRowFunction="sum" dataDxfId="36" totalsRowDxfId="35">
      <calculatedColumnFormula>SUM(tblMisc[[#This Row],[JAN]:[DEC]])</calculatedColumnFormula>
    </tableColumn>
    <tableColumn id="15" xr3:uid="{00000000-0010-0000-0B00-00000F000000}" name=" " dataDxfId="34" totalsRowDxfId="33"/>
  </tableColumns>
  <tableStyleInfo name="Table Style 1" showFirstColumn="0" showLastColumn="0" showRowStripes="0" showColumnStripes="1"/>
  <extLst>
    <ext xmlns:x14="http://schemas.microsoft.com/office/spreadsheetml/2009/9/main" uri="{504A1905-F514-4f6f-8877-14C23A59335A}">
      <x14:table altText="Misc Expenses" altTextSummary="Enter your miscellaneous expenses for the year, separated by month."/>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blTotals" displayName="tblTotals" ref="B109:P111" totalsRowShown="0" headerRowDxfId="32" dataDxfId="31" headerRowCellStyle="Heading 3">
  <tableColumns count="15">
    <tableColumn id="1" xr3:uid="{00000000-0010-0000-0C00-000001000000}" name="TOTALS" dataDxfId="30"/>
    <tableColumn id="2" xr3:uid="{00000000-0010-0000-0C00-000002000000}" name="JAN" dataDxfId="29">
      <calculatedColumnFormula>tblIncome[[#Totals],[JAN]]-C109</calculatedColumnFormula>
    </tableColumn>
    <tableColumn id="3" xr3:uid="{00000000-0010-0000-0C00-000003000000}" name="FEB" dataDxfId="28">
      <calculatedColumnFormula>tblIncome[[#Totals],[FEB]]-D109</calculatedColumnFormula>
    </tableColumn>
    <tableColumn id="4" xr3:uid="{00000000-0010-0000-0C00-000004000000}" name="MAR" dataDxfId="27">
      <calculatedColumnFormula>tblIncome[[#Totals],[MAR]]-E109</calculatedColumnFormula>
    </tableColumn>
    <tableColumn id="5" xr3:uid="{00000000-0010-0000-0C00-000005000000}" name="APR" dataDxfId="26">
      <calculatedColumnFormula>tblIncome[[#Totals],[APR]]-F109</calculatedColumnFormula>
    </tableColumn>
    <tableColumn id="6" xr3:uid="{00000000-0010-0000-0C00-000006000000}" name="MAY" dataDxfId="25">
      <calculatedColumnFormula>tblIncome[[#Totals],[MAY]]-G109</calculatedColumnFormula>
    </tableColumn>
    <tableColumn id="7" xr3:uid="{00000000-0010-0000-0C00-000007000000}" name="JUN" dataDxfId="24">
      <calculatedColumnFormula>tblIncome[[#Totals],[JUN]]-H109</calculatedColumnFormula>
    </tableColumn>
    <tableColumn id="8" xr3:uid="{00000000-0010-0000-0C00-000008000000}" name="JUL" dataDxfId="23">
      <calculatedColumnFormula>tblIncome[[#Totals],[JUL]]-I109</calculatedColumnFormula>
    </tableColumn>
    <tableColumn id="9" xr3:uid="{00000000-0010-0000-0C00-000009000000}" name="AUG" dataDxfId="22">
      <calculatedColumnFormula>tblIncome[[#Totals],[AUG]]-J109</calculatedColumnFormula>
    </tableColumn>
    <tableColumn id="10" xr3:uid="{00000000-0010-0000-0C00-00000A000000}" name="SEP" dataDxfId="21">
      <calculatedColumnFormula>tblIncome[[#Totals],[SEP]]-K109</calculatedColumnFormula>
    </tableColumn>
    <tableColumn id="11" xr3:uid="{00000000-0010-0000-0C00-00000B000000}" name="OCT" dataDxfId="20">
      <calculatedColumnFormula>tblIncome[[#Totals],[OCT]]-L109</calculatedColumnFormula>
    </tableColumn>
    <tableColumn id="12" xr3:uid="{00000000-0010-0000-0C00-00000C000000}" name="NOV" dataDxfId="19">
      <calculatedColumnFormula>tblIncome[[#Totals],[NOV]]-M109</calculatedColumnFormula>
    </tableColumn>
    <tableColumn id="13" xr3:uid="{00000000-0010-0000-0C00-00000D000000}" name="DEC" dataDxfId="18">
      <calculatedColumnFormula>tblIncome[[#Totals],[DEC]]-N109</calculatedColumnFormula>
    </tableColumn>
    <tableColumn id="14" xr3:uid="{00000000-0010-0000-0C00-00000E000000}" name="YEAR" dataDxfId="17">
      <calculatedColumnFormula>tblIncome[[#Totals],[YEAR]]-O109</calculatedColumnFormula>
    </tableColumn>
    <tableColumn id="15" xr3:uid="{00000000-0010-0000-0C00-00000F000000}" name=" " dataDxfId="16"/>
  </tableColumns>
  <tableStyleInfo showFirstColumn="1" showLastColumn="0" showRowStripes="0" showColumnStripes="1"/>
  <extLst>
    <ext xmlns:x14="http://schemas.microsoft.com/office/spreadsheetml/2009/9/main" uri="{504A1905-F514-4f6f-8877-14C23A59335A}">
      <x14:table altText="Totals" altTextSummary="View your totals for the year, separated by month."/>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Home" displayName="tblHome" ref="B12:P25" totalsRowCount="1" headerRowDxfId="394" dataDxfId="393" totalsRowDxfId="392">
  <tableColumns count="15">
    <tableColumn id="1" xr3:uid="{00000000-0010-0000-0100-000001000000}" name="HOME / DAILY LIVING" totalsRowLabel="Total" dataDxfId="391" totalsRowDxfId="390"/>
    <tableColumn id="2" xr3:uid="{00000000-0010-0000-0100-000002000000}" name="JAN" totalsRowFunction="sum" dataDxfId="389" totalsRowDxfId="388"/>
    <tableColumn id="3" xr3:uid="{00000000-0010-0000-0100-000003000000}" name="FEB" totalsRowFunction="sum" dataDxfId="387" totalsRowDxfId="386"/>
    <tableColumn id="4" xr3:uid="{00000000-0010-0000-0100-000004000000}" name="MAR" totalsRowFunction="sum" dataDxfId="385" totalsRowDxfId="384"/>
    <tableColumn id="5" xr3:uid="{00000000-0010-0000-0100-000005000000}" name="APR" totalsRowFunction="sum" dataDxfId="383" totalsRowDxfId="382"/>
    <tableColumn id="6" xr3:uid="{00000000-0010-0000-0100-000006000000}" name="MAY" totalsRowFunction="sum" dataDxfId="381" totalsRowDxfId="380"/>
    <tableColumn id="7" xr3:uid="{00000000-0010-0000-0100-000007000000}" name="JUN" totalsRowFunction="sum" dataDxfId="379" totalsRowDxfId="378"/>
    <tableColumn id="8" xr3:uid="{00000000-0010-0000-0100-000008000000}" name="JUL" totalsRowFunction="sum" dataDxfId="377" totalsRowDxfId="376"/>
    <tableColumn id="9" xr3:uid="{00000000-0010-0000-0100-000009000000}" name="AUG" totalsRowFunction="sum" dataDxfId="375" totalsRowDxfId="374"/>
    <tableColumn id="10" xr3:uid="{00000000-0010-0000-0100-00000A000000}" name="SEP" totalsRowFunction="sum" dataDxfId="373" totalsRowDxfId="372"/>
    <tableColumn id="11" xr3:uid="{00000000-0010-0000-0100-00000B000000}" name="OCT" totalsRowFunction="sum" dataDxfId="371" totalsRowDxfId="370"/>
    <tableColumn id="12" xr3:uid="{00000000-0010-0000-0100-00000C000000}" name="NOV" totalsRowFunction="sum" dataDxfId="369" totalsRowDxfId="368"/>
    <tableColumn id="13" xr3:uid="{00000000-0010-0000-0100-00000D000000}" name="DEC" totalsRowFunction="sum" dataDxfId="367" totalsRowDxfId="366"/>
    <tableColumn id="14" xr3:uid="{00000000-0010-0000-0100-00000E000000}" name="YEAR" totalsRowFunction="sum" dataDxfId="365" totalsRowDxfId="364">
      <calculatedColumnFormula>SUM(tblDaily[[#This Row],[JAN]:[DEC]])</calculatedColumnFormula>
    </tableColumn>
    <tableColumn id="15" xr3:uid="{00000000-0010-0000-0100-00000F000000}" name=" " dataDxfId="363" totalsRowDxfId="362"/>
  </tableColumns>
  <tableStyleInfo name="Table Style 1" showFirstColumn="0" showLastColumn="0" showRowStripes="0" showColumnStripes="1"/>
  <extLst>
    <ext xmlns:x14="http://schemas.microsoft.com/office/spreadsheetml/2009/9/main" uri="{504A1905-F514-4f6f-8877-14C23A59335A}">
      <x14:table altText="Home Expenses" altTextSummary="Enter your home expenses for the year, separated by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Daily" displayName="tblDaily" ref="B27:P34" totalsRowCount="1" headerRowDxfId="361" dataDxfId="360" totalsRowDxfId="359">
  <tableColumns count="15">
    <tableColumn id="1" xr3:uid="{00000000-0010-0000-0200-000001000000}" name="KINGDOM BUDGET" totalsRowLabel="Total" dataDxfId="358" totalsRowDxfId="357"/>
    <tableColumn id="2" xr3:uid="{00000000-0010-0000-0200-000002000000}" name="JAN" totalsRowFunction="sum" dataDxfId="356" totalsRowDxfId="355"/>
    <tableColumn id="3" xr3:uid="{00000000-0010-0000-0200-000003000000}" name="FEB" totalsRowFunction="sum" dataDxfId="354" totalsRowDxfId="353"/>
    <tableColumn id="4" xr3:uid="{00000000-0010-0000-0200-000004000000}" name="MAR" totalsRowFunction="sum" dataDxfId="352" totalsRowDxfId="351"/>
    <tableColumn id="5" xr3:uid="{00000000-0010-0000-0200-000005000000}" name="APR" totalsRowFunction="sum" dataDxfId="350" totalsRowDxfId="349"/>
    <tableColumn id="6" xr3:uid="{00000000-0010-0000-0200-000006000000}" name="MAY" totalsRowFunction="sum" dataDxfId="348" totalsRowDxfId="347"/>
    <tableColumn id="7" xr3:uid="{00000000-0010-0000-0200-000007000000}" name="JUN" totalsRowFunction="sum" dataDxfId="346" totalsRowDxfId="345"/>
    <tableColumn id="8" xr3:uid="{00000000-0010-0000-0200-000008000000}" name="JUL" totalsRowFunction="sum" dataDxfId="344" totalsRowDxfId="343"/>
    <tableColumn id="9" xr3:uid="{00000000-0010-0000-0200-000009000000}" name="AUG" totalsRowFunction="sum" dataDxfId="342" totalsRowDxfId="341"/>
    <tableColumn id="10" xr3:uid="{00000000-0010-0000-0200-00000A000000}" name="SEP" totalsRowFunction="sum" dataDxfId="340" totalsRowDxfId="339"/>
    <tableColumn id="11" xr3:uid="{00000000-0010-0000-0200-00000B000000}" name="OCT" totalsRowFunction="sum" dataDxfId="338" totalsRowDxfId="337"/>
    <tableColumn id="12" xr3:uid="{00000000-0010-0000-0200-00000C000000}" name="NOV" totalsRowFunction="sum" dataDxfId="336" totalsRowDxfId="335"/>
    <tableColumn id="13" xr3:uid="{00000000-0010-0000-0200-00000D000000}" name="DEC" totalsRowFunction="sum" dataDxfId="334" totalsRowDxfId="333"/>
    <tableColumn id="14" xr3:uid="{00000000-0010-0000-0200-00000E000000}" name="YEAR" totalsRowFunction="sum" dataDxfId="332" totalsRowDxfId="331">
      <calculatedColumnFormula>SUM(tblDaily[[#This Row],[JAN]:[DEC]])</calculatedColumnFormula>
    </tableColumn>
    <tableColumn id="15" xr3:uid="{00000000-0010-0000-0200-00000F000000}" name=" " dataDxfId="330" totalsRowDxfId="329"/>
  </tableColumns>
  <tableStyleInfo name="Table Style 1" showFirstColumn="0" showLastColumn="0" showRowStripes="0" showColumnStripes="1"/>
  <extLst>
    <ext xmlns:x14="http://schemas.microsoft.com/office/spreadsheetml/2009/9/main" uri="{504A1905-F514-4f6f-8877-14C23A59335A}">
      <x14:table altText="Daily Living Expenses" altTextSummary="Enter your daily living expenses for the year, separated by month."/>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Transportation" displayName="tblTransportation" ref="B36:P43" totalsRowCount="1" headerRowDxfId="328" dataDxfId="327" totalsRowDxfId="326">
  <tableColumns count="15">
    <tableColumn id="1" xr3:uid="{00000000-0010-0000-0300-000001000000}" name="TRANSPORTATION" totalsRowLabel="Total" dataDxfId="325" totalsRowDxfId="324"/>
    <tableColumn id="2" xr3:uid="{00000000-0010-0000-0300-000002000000}" name="JAN" totalsRowFunction="sum" dataDxfId="323" totalsRowDxfId="322"/>
    <tableColumn id="3" xr3:uid="{00000000-0010-0000-0300-000003000000}" name="FEB" totalsRowFunction="sum" dataDxfId="321" totalsRowDxfId="320"/>
    <tableColumn id="4" xr3:uid="{00000000-0010-0000-0300-000004000000}" name="MAR" totalsRowFunction="sum" dataDxfId="319" totalsRowDxfId="318"/>
    <tableColumn id="5" xr3:uid="{00000000-0010-0000-0300-000005000000}" name="APR" totalsRowFunction="sum" dataDxfId="317" totalsRowDxfId="316"/>
    <tableColumn id="6" xr3:uid="{00000000-0010-0000-0300-000006000000}" name="MAY" totalsRowFunction="sum" dataDxfId="315" totalsRowDxfId="314"/>
    <tableColumn id="7" xr3:uid="{00000000-0010-0000-0300-000007000000}" name="JUN" totalsRowFunction="sum" dataDxfId="313" totalsRowDxfId="312"/>
    <tableColumn id="8" xr3:uid="{00000000-0010-0000-0300-000008000000}" name="JUL" totalsRowFunction="sum" dataDxfId="311" totalsRowDxfId="310"/>
    <tableColumn id="9" xr3:uid="{00000000-0010-0000-0300-000009000000}" name="AUG" totalsRowFunction="sum" dataDxfId="309" totalsRowDxfId="308"/>
    <tableColumn id="10" xr3:uid="{00000000-0010-0000-0300-00000A000000}" name="SEP" totalsRowFunction="sum" dataDxfId="307" totalsRowDxfId="306"/>
    <tableColumn id="11" xr3:uid="{00000000-0010-0000-0300-00000B000000}" name="OCT" totalsRowFunction="sum" dataDxfId="305" totalsRowDxfId="304"/>
    <tableColumn id="12" xr3:uid="{00000000-0010-0000-0300-00000C000000}" name="NOV" totalsRowFunction="sum" dataDxfId="303" totalsRowDxfId="302"/>
    <tableColumn id="13" xr3:uid="{00000000-0010-0000-0300-00000D000000}" name="DEC" totalsRowFunction="sum" dataDxfId="301" totalsRowDxfId="300"/>
    <tableColumn id="14" xr3:uid="{00000000-0010-0000-0300-00000E000000}" name="YEAR" totalsRowFunction="sum" dataDxfId="299" totalsRowDxfId="298">
      <calculatedColumnFormula>SUM(tblTransportation[[#This Row],[JAN]:[DEC]])</calculatedColumnFormula>
    </tableColumn>
    <tableColumn id="15" xr3:uid="{00000000-0010-0000-0300-00000F000000}" name=" " dataDxfId="297" totalsRowDxfId="296"/>
  </tableColumns>
  <tableStyleInfo name="Table Style 1" showFirstColumn="0" showLastColumn="0" showRowStripes="0" showColumnStripes="1"/>
  <extLst>
    <ext xmlns:x14="http://schemas.microsoft.com/office/spreadsheetml/2009/9/main" uri="{504A1905-F514-4f6f-8877-14C23A59335A}">
      <x14:table altText="Transportation expenses" altTextSummary="Enter your transportation expenses for the year, separated by month."/>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Entertainment" displayName="tblEntertainment" ref="B45:P50" totalsRowCount="1" headerRowDxfId="295" dataDxfId="294" totalsRowDxfId="293">
  <tableColumns count="15">
    <tableColumn id="1" xr3:uid="{00000000-0010-0000-0400-000001000000}" name="ENTERTAINMENT" totalsRowLabel="Total" dataDxfId="292" totalsRowDxfId="291"/>
    <tableColumn id="2" xr3:uid="{00000000-0010-0000-0400-000002000000}" name="JAN" totalsRowFunction="sum" dataDxfId="290" totalsRowDxfId="289"/>
    <tableColumn id="3" xr3:uid="{00000000-0010-0000-0400-000003000000}" name="FEB" totalsRowFunction="sum" dataDxfId="288" totalsRowDxfId="287"/>
    <tableColumn id="4" xr3:uid="{00000000-0010-0000-0400-000004000000}" name="MAR" totalsRowFunction="sum" dataDxfId="286" totalsRowDxfId="285"/>
    <tableColumn id="5" xr3:uid="{00000000-0010-0000-0400-000005000000}" name="APR" totalsRowFunction="sum" dataDxfId="284" totalsRowDxfId="283"/>
    <tableColumn id="6" xr3:uid="{00000000-0010-0000-0400-000006000000}" name="MAY" totalsRowFunction="sum" dataDxfId="282" totalsRowDxfId="281"/>
    <tableColumn id="7" xr3:uid="{00000000-0010-0000-0400-000007000000}" name="JUN" totalsRowFunction="sum" dataDxfId="280" totalsRowDxfId="279"/>
    <tableColumn id="8" xr3:uid="{00000000-0010-0000-0400-000008000000}" name="JUL" totalsRowFunction="sum" dataDxfId="278" totalsRowDxfId="277"/>
    <tableColumn id="9" xr3:uid="{00000000-0010-0000-0400-000009000000}" name="AUG" totalsRowFunction="sum" dataDxfId="276" totalsRowDxfId="275"/>
    <tableColumn id="10" xr3:uid="{00000000-0010-0000-0400-00000A000000}" name="SEP" totalsRowFunction="sum" dataDxfId="274" totalsRowDxfId="273"/>
    <tableColumn id="11" xr3:uid="{00000000-0010-0000-0400-00000B000000}" name="OCT" totalsRowFunction="sum" dataDxfId="272" totalsRowDxfId="271"/>
    <tableColumn id="12" xr3:uid="{00000000-0010-0000-0400-00000C000000}" name="NOV" totalsRowFunction="sum" dataDxfId="270" totalsRowDxfId="269"/>
    <tableColumn id="13" xr3:uid="{00000000-0010-0000-0400-00000D000000}" name="DEC" totalsRowFunction="sum" dataDxfId="268" totalsRowDxfId="267"/>
    <tableColumn id="14" xr3:uid="{00000000-0010-0000-0400-00000E000000}" name="YEAR" totalsRowFunction="sum" dataDxfId="266" totalsRowDxfId="265">
      <calculatedColumnFormula>SUM(tblEntertainment[[#This Row],[JAN]:[DEC]])</calculatedColumnFormula>
    </tableColumn>
    <tableColumn id="15" xr3:uid="{00000000-0010-0000-0400-00000F000000}" name=" " dataDxfId="264" totalsRowDxfId="263"/>
  </tableColumns>
  <tableStyleInfo name="Table Style 1" showFirstColumn="0" showLastColumn="0" showRowStripes="0" showColumnStripes="1"/>
  <extLst>
    <ext xmlns:x14="http://schemas.microsoft.com/office/spreadsheetml/2009/9/main" uri="{504A1905-F514-4f6f-8877-14C23A59335A}">
      <x14:table altText="Entertainment Expenses" altTextSummary="Enter your entertainment expenses for the year, separated by month."/>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Health" displayName="tblHealth" ref="B52:P60" totalsRowCount="1" headerRowDxfId="262" dataDxfId="261" totalsRowDxfId="260">
  <tableColumns count="15">
    <tableColumn id="1" xr3:uid="{00000000-0010-0000-0500-000001000000}" name="HEALTH" totalsRowLabel="Total" dataDxfId="259" totalsRowDxfId="258"/>
    <tableColumn id="2" xr3:uid="{00000000-0010-0000-0500-000002000000}" name="JAN" totalsRowFunction="sum" dataDxfId="257" totalsRowDxfId="256"/>
    <tableColumn id="3" xr3:uid="{00000000-0010-0000-0500-000003000000}" name="FEB" totalsRowFunction="sum" dataDxfId="255" totalsRowDxfId="254"/>
    <tableColumn id="4" xr3:uid="{00000000-0010-0000-0500-000004000000}" name="MAR" totalsRowFunction="sum" dataDxfId="253" totalsRowDxfId="252"/>
    <tableColumn id="5" xr3:uid="{00000000-0010-0000-0500-000005000000}" name="APR" totalsRowFunction="sum" dataDxfId="251" totalsRowDxfId="250"/>
    <tableColumn id="6" xr3:uid="{00000000-0010-0000-0500-000006000000}" name="MAY" totalsRowFunction="sum" dataDxfId="249" totalsRowDxfId="248"/>
    <tableColumn id="7" xr3:uid="{00000000-0010-0000-0500-000007000000}" name="JUN" totalsRowFunction="sum" dataDxfId="247" totalsRowDxfId="246"/>
    <tableColumn id="8" xr3:uid="{00000000-0010-0000-0500-000008000000}" name="JUL" totalsRowFunction="sum" dataDxfId="245" totalsRowDxfId="244"/>
    <tableColumn id="9" xr3:uid="{00000000-0010-0000-0500-000009000000}" name="AUG" totalsRowFunction="sum" dataDxfId="243" totalsRowDxfId="242"/>
    <tableColumn id="10" xr3:uid="{00000000-0010-0000-0500-00000A000000}" name="SEP" totalsRowFunction="sum" dataDxfId="241" totalsRowDxfId="240"/>
    <tableColumn id="11" xr3:uid="{00000000-0010-0000-0500-00000B000000}" name="OCT" totalsRowFunction="sum" dataDxfId="239" totalsRowDxfId="238"/>
    <tableColumn id="12" xr3:uid="{00000000-0010-0000-0500-00000C000000}" name="NOV" totalsRowFunction="sum" dataDxfId="237" totalsRowDxfId="236"/>
    <tableColumn id="13" xr3:uid="{00000000-0010-0000-0500-00000D000000}" name="DEC" totalsRowFunction="sum" dataDxfId="235" totalsRowDxfId="234"/>
    <tableColumn id="14" xr3:uid="{00000000-0010-0000-0500-00000E000000}" name="YEAR" totalsRowFunction="sum" dataDxfId="233" totalsRowDxfId="232">
      <calculatedColumnFormula>SUM(tblHealth[[#This Row],[JAN]:[DEC]])</calculatedColumnFormula>
    </tableColumn>
    <tableColumn id="15" xr3:uid="{00000000-0010-0000-0500-00000F000000}" name=" " dataDxfId="231" totalsRowDxfId="230"/>
  </tableColumns>
  <tableStyleInfo name="Table Style 1" showFirstColumn="0" showLastColumn="0" showRowStripes="0" showColumnStripes="1"/>
  <extLst>
    <ext xmlns:x14="http://schemas.microsoft.com/office/spreadsheetml/2009/9/main" uri="{504A1905-F514-4f6f-8877-14C23A59335A}">
      <x14:table altText="Health Expenses" altTextSummary="Enter your health expenses for the year, separated by month."/>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Vacations" displayName="tblVacations" ref="B62:P69" totalsRowCount="1" headerRowDxfId="229" dataDxfId="228" totalsRowDxfId="227">
  <tableColumns count="15">
    <tableColumn id="1" xr3:uid="{00000000-0010-0000-0600-000001000000}" name="VACATIONS" totalsRowLabel="Total" dataDxfId="226" totalsRowDxfId="225"/>
    <tableColumn id="2" xr3:uid="{00000000-0010-0000-0600-000002000000}" name="JAN" totalsRowFunction="sum" dataDxfId="224" totalsRowDxfId="223"/>
    <tableColumn id="3" xr3:uid="{00000000-0010-0000-0600-000003000000}" name="FEB" totalsRowFunction="sum" dataDxfId="222" totalsRowDxfId="221"/>
    <tableColumn id="4" xr3:uid="{00000000-0010-0000-0600-000004000000}" name="MAR" totalsRowFunction="sum" dataDxfId="220" totalsRowDxfId="219"/>
    <tableColumn id="5" xr3:uid="{00000000-0010-0000-0600-000005000000}" name="APR" totalsRowFunction="sum" dataDxfId="218" totalsRowDxfId="217"/>
    <tableColumn id="6" xr3:uid="{00000000-0010-0000-0600-000006000000}" name="MAY" totalsRowFunction="sum" dataDxfId="216" totalsRowDxfId="215"/>
    <tableColumn id="7" xr3:uid="{00000000-0010-0000-0600-000007000000}" name="JUN" totalsRowFunction="sum" dataDxfId="214" totalsRowDxfId="213"/>
    <tableColumn id="8" xr3:uid="{00000000-0010-0000-0600-000008000000}" name="JUL" totalsRowFunction="sum" dataDxfId="212" totalsRowDxfId="211"/>
    <tableColumn id="9" xr3:uid="{00000000-0010-0000-0600-000009000000}" name="AUG" totalsRowFunction="sum" dataDxfId="210" totalsRowDxfId="209"/>
    <tableColumn id="10" xr3:uid="{00000000-0010-0000-0600-00000A000000}" name="SEP" totalsRowFunction="sum" dataDxfId="208" totalsRowDxfId="207"/>
    <tableColumn id="11" xr3:uid="{00000000-0010-0000-0600-00000B000000}" name="OCT" totalsRowFunction="sum" dataDxfId="206" totalsRowDxfId="205"/>
    <tableColumn id="12" xr3:uid="{00000000-0010-0000-0600-00000C000000}" name="NOV" totalsRowFunction="sum" dataDxfId="204" totalsRowDxfId="203"/>
    <tableColumn id="13" xr3:uid="{00000000-0010-0000-0600-00000D000000}" name="DEC" totalsRowFunction="sum" dataDxfId="202" totalsRowDxfId="201"/>
    <tableColumn id="14" xr3:uid="{00000000-0010-0000-0600-00000E000000}" name="YEAR" totalsRowFunction="sum" dataDxfId="200" totalsRowDxfId="199">
      <calculatedColumnFormula>SUM(tblVacations[[#This Row],[JAN]:[DEC]])</calculatedColumnFormula>
    </tableColumn>
    <tableColumn id="15" xr3:uid="{00000000-0010-0000-0600-00000F000000}" name=" " dataDxfId="198" totalsRowDxfId="197"/>
  </tableColumns>
  <tableStyleInfo name="Table Style 1" showFirstColumn="0" showLastColumn="0" showRowStripes="0" showColumnStripes="1"/>
  <extLst>
    <ext xmlns:x14="http://schemas.microsoft.com/office/spreadsheetml/2009/9/main" uri="{504A1905-F514-4f6f-8877-14C23A59335A}">
      <x14:table altText="Vacation Expenses" altTextSummary="Enter your vacation expenses for the year, separated by month."/>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Recreation" displayName="tblRecreation" ref="B71:P76" totalsRowCount="1" headerRowDxfId="196" dataDxfId="195" totalsRowDxfId="194">
  <tableColumns count="15">
    <tableColumn id="1" xr3:uid="{00000000-0010-0000-0700-000001000000}" name="RECREATION" totalsRowLabel="Total" dataDxfId="193" totalsRowDxfId="192"/>
    <tableColumn id="2" xr3:uid="{00000000-0010-0000-0700-000002000000}" name="JAN" totalsRowFunction="sum" dataDxfId="191" totalsRowDxfId="190"/>
    <tableColumn id="3" xr3:uid="{00000000-0010-0000-0700-000003000000}" name="FEB" totalsRowFunction="sum" dataDxfId="189" totalsRowDxfId="188"/>
    <tableColumn id="4" xr3:uid="{00000000-0010-0000-0700-000004000000}" name="MAR" totalsRowFunction="sum" dataDxfId="187" totalsRowDxfId="186"/>
    <tableColumn id="5" xr3:uid="{00000000-0010-0000-0700-000005000000}" name="APR" totalsRowFunction="sum" dataDxfId="185" totalsRowDxfId="184"/>
    <tableColumn id="6" xr3:uid="{00000000-0010-0000-0700-000006000000}" name="MAY" totalsRowFunction="sum" dataDxfId="183" totalsRowDxfId="182"/>
    <tableColumn id="7" xr3:uid="{00000000-0010-0000-0700-000007000000}" name="JUN" totalsRowFunction="sum" dataDxfId="181" totalsRowDxfId="180"/>
    <tableColumn id="8" xr3:uid="{00000000-0010-0000-0700-000008000000}" name="JUL" totalsRowFunction="sum" dataDxfId="179" totalsRowDxfId="178"/>
    <tableColumn id="9" xr3:uid="{00000000-0010-0000-0700-000009000000}" name="AUG" totalsRowFunction="sum" dataDxfId="177" totalsRowDxfId="176"/>
    <tableColumn id="10" xr3:uid="{00000000-0010-0000-0700-00000A000000}" name="SEP" totalsRowFunction="sum" dataDxfId="175" totalsRowDxfId="174"/>
    <tableColumn id="11" xr3:uid="{00000000-0010-0000-0700-00000B000000}" name="OCT" totalsRowFunction="sum" dataDxfId="173" totalsRowDxfId="172"/>
    <tableColumn id="12" xr3:uid="{00000000-0010-0000-0700-00000C000000}" name="NOV" totalsRowFunction="sum" dataDxfId="171" totalsRowDxfId="170"/>
    <tableColumn id="13" xr3:uid="{00000000-0010-0000-0700-00000D000000}" name="DEC" totalsRowFunction="sum" dataDxfId="169" totalsRowDxfId="168"/>
    <tableColumn id="14" xr3:uid="{00000000-0010-0000-0700-00000E000000}" name="YEAR" totalsRowFunction="sum" dataDxfId="167" totalsRowDxfId="166">
      <calculatedColumnFormula>SUM(tblRecreation[[#This Row],[JAN]:[DEC]])</calculatedColumnFormula>
    </tableColumn>
    <tableColumn id="15" xr3:uid="{00000000-0010-0000-0700-00000F000000}" name=" " dataDxfId="165" totalsRowDxfId="164"/>
  </tableColumns>
  <tableStyleInfo name="Table Style 1" showFirstColumn="0" showLastColumn="0" showRowStripes="0" showColumnStripes="1"/>
  <extLst>
    <ext xmlns:x14="http://schemas.microsoft.com/office/spreadsheetml/2009/9/main" uri="{504A1905-F514-4f6f-8877-14C23A59335A}">
      <x14:table altText="Recreation Expenses" altTextSummary="Enter your recreation expenses for the year, separated by month."/>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Dues" displayName="tblDues" ref="B78:P84" totalsRowCount="1" headerRowDxfId="163" dataDxfId="162" totalsRowDxfId="161">
  <tableColumns count="15">
    <tableColumn id="1" xr3:uid="{00000000-0010-0000-0800-000001000000}" name="DUES / SUBSCRIPTION" totalsRowLabel="Total" dataDxfId="160" totalsRowDxfId="159"/>
    <tableColumn id="2" xr3:uid="{00000000-0010-0000-0800-000002000000}" name="JAN" totalsRowFunction="sum" dataDxfId="158" totalsRowDxfId="157"/>
    <tableColumn id="3" xr3:uid="{00000000-0010-0000-0800-000003000000}" name="FEB" totalsRowFunction="sum" dataDxfId="156" totalsRowDxfId="155"/>
    <tableColumn id="4" xr3:uid="{00000000-0010-0000-0800-000004000000}" name="MAR" totalsRowFunction="sum" dataDxfId="154" totalsRowDxfId="153"/>
    <tableColumn id="5" xr3:uid="{00000000-0010-0000-0800-000005000000}" name="APR" totalsRowFunction="sum" dataDxfId="152" totalsRowDxfId="151"/>
    <tableColumn id="6" xr3:uid="{00000000-0010-0000-0800-000006000000}" name="MAY" totalsRowFunction="sum" dataDxfId="150" totalsRowDxfId="149"/>
    <tableColumn id="7" xr3:uid="{00000000-0010-0000-0800-000007000000}" name="JUN" totalsRowFunction="sum" dataDxfId="148" totalsRowDxfId="147"/>
    <tableColumn id="8" xr3:uid="{00000000-0010-0000-0800-000008000000}" name="JUL" totalsRowFunction="sum" dataDxfId="146" totalsRowDxfId="145"/>
    <tableColumn id="9" xr3:uid="{00000000-0010-0000-0800-000009000000}" name="AUG" totalsRowFunction="sum" dataDxfId="144" totalsRowDxfId="143"/>
    <tableColumn id="10" xr3:uid="{00000000-0010-0000-0800-00000A000000}" name="SEP" totalsRowFunction="sum" dataDxfId="142" totalsRowDxfId="141"/>
    <tableColumn id="11" xr3:uid="{00000000-0010-0000-0800-00000B000000}" name="OCT" totalsRowFunction="sum" dataDxfId="140" totalsRowDxfId="139"/>
    <tableColumn id="12" xr3:uid="{00000000-0010-0000-0800-00000C000000}" name="NOV" totalsRowFunction="sum" dataDxfId="138" totalsRowDxfId="137"/>
    <tableColumn id="13" xr3:uid="{00000000-0010-0000-0800-00000D000000}" name="DEC" totalsRowFunction="sum" dataDxfId="136" totalsRowDxfId="135"/>
    <tableColumn id="14" xr3:uid="{00000000-0010-0000-0800-00000E000000}" name="YEAR" totalsRowFunction="sum" dataDxfId="134" totalsRowDxfId="133">
      <calculatedColumnFormula>SUM(tblDues[[#This Row],[JAN]:[DEC]])</calculatedColumnFormula>
    </tableColumn>
    <tableColumn id="15" xr3:uid="{00000000-0010-0000-0800-00000F000000}" name=" " dataDxfId="132" totalsRowDxfId="131"/>
  </tableColumns>
  <tableStyleInfo name="Table Style 1" showFirstColumn="0" showLastColumn="0" showRowStripes="0" showColumnStripes="1"/>
  <extLst>
    <ext xmlns:x14="http://schemas.microsoft.com/office/spreadsheetml/2009/9/main" uri="{504A1905-F514-4f6f-8877-14C23A59335A}">
      <x14:table altText="Dues &amp; Subscription Expenses" altTextSummary="Enter your dues &amp; subscription expenses for the year, separated by month."/>
    </ext>
  </extLst>
</table>
</file>

<file path=xl/theme/theme1.xml><?xml version="1.0" encoding="utf-8"?>
<a:theme xmlns:a="http://schemas.openxmlformats.org/drawingml/2006/main" name="Office Theme">
  <a:themeElements>
    <a:clrScheme name="TM04035483-v1">
      <a:dk1>
        <a:srgbClr val="000000"/>
      </a:dk1>
      <a:lt1>
        <a:srgbClr val="FFFFFF"/>
      </a:lt1>
      <a:dk2>
        <a:srgbClr val="004C4B"/>
      </a:dk2>
      <a:lt2>
        <a:srgbClr val="E7E6E6"/>
      </a:lt2>
      <a:accent1>
        <a:srgbClr val="007F80"/>
      </a:accent1>
      <a:accent2>
        <a:srgbClr val="B2D8D7"/>
      </a:accent2>
      <a:accent3>
        <a:srgbClr val="FDF8F3"/>
      </a:accent3>
      <a:accent4>
        <a:srgbClr val="FEBF00"/>
      </a:accent4>
      <a:accent5>
        <a:srgbClr val="FFE501"/>
      </a:accent5>
      <a:accent6>
        <a:srgbClr val="836C5A"/>
      </a:accent6>
      <a:hlink>
        <a:srgbClr val="0563C1"/>
      </a:hlink>
      <a:folHlink>
        <a:srgbClr val="954F72"/>
      </a:folHlink>
    </a:clrScheme>
    <a:fontScheme name="Custom 13">
      <a:majorFont>
        <a:latin typeface="Gill Sans MT"/>
        <a:ea typeface=""/>
        <a:cs typeface=""/>
      </a:majorFont>
      <a:minorFont>
        <a:latin typeface="verdan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Q114"/>
  <sheetViews>
    <sheetView showGridLines="0" tabSelected="1" zoomScaleNormal="100" workbookViewId="0">
      <selection activeCell="D9" sqref="D9"/>
    </sheetView>
  </sheetViews>
  <sheetFormatPr baseColWidth="10" defaultColWidth="8.83203125" defaultRowHeight="22" customHeight="1" x14ac:dyDescent="0.15"/>
  <cols>
    <col min="1" max="1" width="6.83203125" style="8" customWidth="1"/>
    <col min="2" max="2" width="34.83203125" style="9" customWidth="1"/>
    <col min="3" max="15" width="15.83203125" style="10" customWidth="1"/>
    <col min="16" max="16" width="15.83203125" style="9" customWidth="1"/>
    <col min="17" max="17" width="6.83203125" style="9" customWidth="1"/>
    <col min="18" max="16384" width="8.83203125" style="21"/>
  </cols>
  <sheetData>
    <row r="1" spans="1:17" ht="20" customHeight="1" x14ac:dyDescent="0.15">
      <c r="Q1" s="9" t="s">
        <v>75</v>
      </c>
    </row>
    <row r="2" spans="1:17" ht="127" customHeight="1" x14ac:dyDescent="0.15">
      <c r="B2" s="38" t="s">
        <v>95</v>
      </c>
      <c r="C2" s="39"/>
      <c r="D2" s="39"/>
      <c r="E2" s="39"/>
      <c r="F2" s="39"/>
      <c r="G2" s="39"/>
      <c r="H2" s="39"/>
      <c r="I2" s="39"/>
      <c r="J2" s="39"/>
      <c r="K2" s="39"/>
      <c r="L2" s="39"/>
      <c r="M2" s="39"/>
      <c r="N2" s="39"/>
      <c r="O2" s="39"/>
      <c r="P2" s="39"/>
    </row>
    <row r="3" spans="1:17" ht="22" customHeight="1" x14ac:dyDescent="0.15">
      <c r="B3" t="s">
        <v>94</v>
      </c>
      <c r="C3"/>
      <c r="D3"/>
      <c r="E3"/>
    </row>
    <row r="4" spans="1:17" s="23" customFormat="1" ht="30" customHeight="1" x14ac:dyDescent="0.2">
      <c r="A4" s="16"/>
      <c r="B4" s="28" t="s">
        <v>73</v>
      </c>
      <c r="C4" s="29"/>
      <c r="D4" s="29"/>
      <c r="E4" s="29"/>
      <c r="F4" s="29"/>
      <c r="G4" s="29"/>
      <c r="H4" s="29"/>
      <c r="I4" s="29"/>
      <c r="J4" s="29"/>
      <c r="K4" s="29"/>
      <c r="L4" s="29"/>
      <c r="M4" s="29"/>
      <c r="N4" s="29"/>
      <c r="O4" s="29"/>
      <c r="P4" s="30"/>
      <c r="Q4" s="17"/>
    </row>
    <row r="5" spans="1:17" s="5" customFormat="1" ht="30" customHeight="1" x14ac:dyDescent="0.15">
      <c r="A5" s="11"/>
      <c r="B5" s="19" t="s">
        <v>49</v>
      </c>
      <c r="C5" s="33" t="s">
        <v>60</v>
      </c>
      <c r="D5" s="33" t="s">
        <v>61</v>
      </c>
      <c r="E5" s="33" t="s">
        <v>63</v>
      </c>
      <c r="F5" s="33" t="s">
        <v>64</v>
      </c>
      <c r="G5" s="33" t="s">
        <v>62</v>
      </c>
      <c r="H5" s="33" t="s">
        <v>65</v>
      </c>
      <c r="I5" s="33" t="s">
        <v>66</v>
      </c>
      <c r="J5" s="33" t="s">
        <v>67</v>
      </c>
      <c r="K5" s="33" t="s">
        <v>68</v>
      </c>
      <c r="L5" s="33" t="s">
        <v>69</v>
      </c>
      <c r="M5" s="33" t="s">
        <v>70</v>
      </c>
      <c r="N5" s="33" t="s">
        <v>71</v>
      </c>
      <c r="O5" s="33" t="s">
        <v>72</v>
      </c>
      <c r="P5" s="34" t="s">
        <v>76</v>
      </c>
      <c r="Q5" s="3"/>
    </row>
    <row r="6" spans="1:17" s="5" customFormat="1" ht="22.25" customHeight="1" x14ac:dyDescent="0.15">
      <c r="A6" s="11"/>
      <c r="B6" s="12" t="s">
        <v>77</v>
      </c>
      <c r="C6" s="35">
        <v>17600</v>
      </c>
      <c r="D6" s="35">
        <v>23000</v>
      </c>
      <c r="E6" s="35">
        <v>54000</v>
      </c>
      <c r="F6" s="35"/>
      <c r="G6" s="35"/>
      <c r="H6" s="35"/>
      <c r="I6" s="35"/>
      <c r="J6" s="35"/>
      <c r="K6" s="35"/>
      <c r="L6" s="35"/>
      <c r="M6" s="35"/>
      <c r="N6" s="35"/>
      <c r="O6" s="35">
        <f>SUM(tblIncome[[#This Row],[JAN]:[DEC]])</f>
        <v>94600</v>
      </c>
      <c r="P6" s="13"/>
      <c r="Q6" s="3"/>
    </row>
    <row r="7" spans="1:17" s="5" customFormat="1" ht="22.25" customHeight="1" x14ac:dyDescent="0.15">
      <c r="A7" s="11"/>
      <c r="B7" s="12" t="s">
        <v>78</v>
      </c>
      <c r="C7" s="35">
        <v>649</v>
      </c>
      <c r="D7" s="35">
        <v>313</v>
      </c>
      <c r="E7" s="35">
        <v>664</v>
      </c>
      <c r="F7" s="35"/>
      <c r="G7" s="35"/>
      <c r="H7" s="35"/>
      <c r="I7" s="35"/>
      <c r="J7" s="35"/>
      <c r="K7" s="35"/>
      <c r="L7" s="35"/>
      <c r="M7" s="35"/>
      <c r="N7" s="35"/>
      <c r="O7" s="35">
        <f>SUM(tblIncome[[#This Row],[JAN]:[DEC]])</f>
        <v>1626</v>
      </c>
      <c r="P7" s="13"/>
      <c r="Q7" s="3"/>
    </row>
    <row r="8" spans="1:17" s="5" customFormat="1" ht="22.25" customHeight="1" x14ac:dyDescent="0.15">
      <c r="A8" s="11"/>
      <c r="B8" s="12" t="s">
        <v>79</v>
      </c>
      <c r="C8" s="35">
        <v>1474</v>
      </c>
      <c r="D8" s="35">
        <v>643</v>
      </c>
      <c r="E8" s="35">
        <v>380</v>
      </c>
      <c r="F8" s="35"/>
      <c r="G8" s="35"/>
      <c r="H8" s="35"/>
      <c r="I8" s="35"/>
      <c r="J8" s="35"/>
      <c r="K8" s="35"/>
      <c r="L8" s="35"/>
      <c r="M8" s="35"/>
      <c r="N8" s="35"/>
      <c r="O8" s="35">
        <f>SUM(tblIncome[[#This Row],[JAN]:[DEC]])</f>
        <v>2497</v>
      </c>
      <c r="P8" s="13"/>
      <c r="Q8" s="3"/>
    </row>
    <row r="9" spans="1:17" s="5" customFormat="1" ht="22.25" customHeight="1" x14ac:dyDescent="0.15">
      <c r="A9" s="11"/>
      <c r="B9" s="12" t="s">
        <v>48</v>
      </c>
      <c r="C9" s="35">
        <f>SUBTOTAL(109,tblIncome[JAN])</f>
        <v>19723</v>
      </c>
      <c r="D9" s="35">
        <f>SUBTOTAL(109,tblIncome[FEB])</f>
        <v>23956</v>
      </c>
      <c r="E9" s="35">
        <f>SUBTOTAL(109,tblIncome[MAR])</f>
        <v>55044</v>
      </c>
      <c r="F9" s="35">
        <f>SUBTOTAL(109,tblIncome[APR])</f>
        <v>0</v>
      </c>
      <c r="G9" s="35">
        <f>SUBTOTAL(109,tblIncome[MAY])</f>
        <v>0</v>
      </c>
      <c r="H9" s="35">
        <f>SUBTOTAL(109,tblIncome[JUN])</f>
        <v>0</v>
      </c>
      <c r="I9" s="35">
        <f>SUBTOTAL(109,tblIncome[JUL])</f>
        <v>0</v>
      </c>
      <c r="J9" s="35">
        <f>SUBTOTAL(109,tblIncome[AUG])</f>
        <v>0</v>
      </c>
      <c r="K9" s="35">
        <f>SUBTOTAL(109,tblIncome[SEP])</f>
        <v>0</v>
      </c>
      <c r="L9" s="35">
        <f>SUBTOTAL(109,tblIncome[OCT])</f>
        <v>0</v>
      </c>
      <c r="M9" s="35">
        <f>SUBTOTAL(109,tblIncome[NOV])</f>
        <v>0</v>
      </c>
      <c r="N9" s="35">
        <f>SUBTOTAL(109,tblIncome[DEC])</f>
        <v>0</v>
      </c>
      <c r="O9" s="35">
        <f>SUBTOTAL(109,tblIncome[YEAR])</f>
        <v>98723</v>
      </c>
      <c r="P9" s="14"/>
      <c r="Q9" s="3"/>
    </row>
    <row r="10" spans="1:17" ht="22" customHeight="1" x14ac:dyDescent="0.15">
      <c r="B10" s="1"/>
      <c r="C10" s="2"/>
      <c r="D10" s="2"/>
      <c r="E10" s="2"/>
      <c r="F10" s="2"/>
      <c r="G10" s="2"/>
      <c r="H10" s="2"/>
      <c r="I10" s="2"/>
      <c r="J10" s="2"/>
      <c r="K10" s="2"/>
      <c r="L10" s="2"/>
      <c r="M10" s="2"/>
      <c r="N10" s="2"/>
      <c r="O10" s="2"/>
    </row>
    <row r="11" spans="1:17" s="32" customFormat="1" ht="30" customHeight="1" x14ac:dyDescent="0.25">
      <c r="A11" s="27"/>
      <c r="B11" s="28" t="s">
        <v>50</v>
      </c>
      <c r="C11" s="29"/>
      <c r="D11" s="29"/>
      <c r="E11" s="29"/>
      <c r="F11" s="29"/>
      <c r="G11" s="29"/>
      <c r="H11" s="29"/>
      <c r="I11" s="29"/>
      <c r="J11" s="29"/>
      <c r="K11" s="29"/>
      <c r="L11" s="29"/>
      <c r="M11" s="29"/>
      <c r="N11" s="29"/>
      <c r="O11" s="29"/>
      <c r="P11" s="30"/>
      <c r="Q11" s="31"/>
    </row>
    <row r="12" spans="1:17" s="5" customFormat="1" ht="30" customHeight="1" x14ac:dyDescent="0.15">
      <c r="A12" s="11"/>
      <c r="B12" s="19" t="s">
        <v>86</v>
      </c>
      <c r="C12" s="33" t="s">
        <v>60</v>
      </c>
      <c r="D12" s="33" t="s">
        <v>61</v>
      </c>
      <c r="E12" s="33" t="s">
        <v>63</v>
      </c>
      <c r="F12" s="33" t="s">
        <v>64</v>
      </c>
      <c r="G12" s="33" t="s">
        <v>62</v>
      </c>
      <c r="H12" s="33" t="s">
        <v>65</v>
      </c>
      <c r="I12" s="33" t="s">
        <v>66</v>
      </c>
      <c r="J12" s="33" t="s">
        <v>67</v>
      </c>
      <c r="K12" s="33" t="s">
        <v>68</v>
      </c>
      <c r="L12" s="33" t="s">
        <v>69</v>
      </c>
      <c r="M12" s="33" t="s">
        <v>70</v>
      </c>
      <c r="N12" s="33" t="s">
        <v>71</v>
      </c>
      <c r="O12" s="33" t="s">
        <v>72</v>
      </c>
      <c r="P12" s="34" t="s">
        <v>75</v>
      </c>
      <c r="Q12" s="3"/>
    </row>
    <row r="13" spans="1:17" s="5" customFormat="1" ht="22.25" customHeight="1" x14ac:dyDescent="0.15">
      <c r="A13" s="11"/>
      <c r="B13" s="12" t="s">
        <v>82</v>
      </c>
      <c r="C13" s="35">
        <v>700</v>
      </c>
      <c r="D13" s="35">
        <v>700</v>
      </c>
      <c r="E13" s="35">
        <v>700</v>
      </c>
      <c r="F13" s="35"/>
      <c r="G13" s="35"/>
      <c r="H13" s="35"/>
      <c r="I13" s="35"/>
      <c r="J13" s="35"/>
      <c r="K13" s="35"/>
      <c r="L13" s="35"/>
      <c r="M13" s="35"/>
      <c r="N13" s="35"/>
      <c r="O13" s="35" t="e">
        <f>SUM(tblDaily[[#This Row],[JAN]:[DEC]])</f>
        <v>#VALUE!</v>
      </c>
      <c r="P13" s="13"/>
      <c r="Q13" s="3"/>
    </row>
    <row r="14" spans="1:17" s="5" customFormat="1" ht="22.25" customHeight="1" x14ac:dyDescent="0.15">
      <c r="A14" s="11"/>
      <c r="B14" s="12" t="s">
        <v>84</v>
      </c>
      <c r="C14" s="35"/>
      <c r="D14" s="35"/>
      <c r="E14" s="35"/>
      <c r="F14" s="35"/>
      <c r="G14" s="35"/>
      <c r="H14" s="35"/>
      <c r="I14" s="35"/>
      <c r="J14" s="35"/>
      <c r="K14" s="35"/>
      <c r="L14" s="35"/>
      <c r="M14" s="35"/>
      <c r="N14" s="35"/>
      <c r="O14" s="35" t="e">
        <f>SUM(tblDaily[[#This Row],[JAN]:[DEC]])</f>
        <v>#VALUE!</v>
      </c>
      <c r="P14" s="13"/>
      <c r="Q14" s="3"/>
    </row>
    <row r="15" spans="1:17" s="5" customFormat="1" ht="22.25" customHeight="1" x14ac:dyDescent="0.15">
      <c r="A15" s="11"/>
      <c r="B15" s="12" t="s">
        <v>81</v>
      </c>
      <c r="C15" s="35">
        <v>2000</v>
      </c>
      <c r="D15" s="35">
        <v>2000</v>
      </c>
      <c r="E15" s="35">
        <v>2000</v>
      </c>
      <c r="F15" s="35"/>
      <c r="G15" s="35"/>
      <c r="H15" s="35"/>
      <c r="I15" s="35"/>
      <c r="J15" s="35"/>
      <c r="K15" s="35"/>
      <c r="L15" s="35"/>
      <c r="M15" s="35"/>
      <c r="N15" s="35"/>
      <c r="O15" s="35" t="e">
        <f>SUM(tblDaily[[#This Row],[JAN]:[DEC]])</f>
        <v>#VALUE!</v>
      </c>
      <c r="P15" s="13"/>
      <c r="Q15" s="3"/>
    </row>
    <row r="16" spans="1:17" s="5" customFormat="1" ht="22.25" customHeight="1" x14ac:dyDescent="0.15">
      <c r="A16" s="11"/>
      <c r="B16" s="12" t="s">
        <v>36</v>
      </c>
      <c r="C16" s="35"/>
      <c r="D16" s="35"/>
      <c r="E16" s="35"/>
      <c r="F16" s="35"/>
      <c r="G16" s="35"/>
      <c r="H16" s="35"/>
      <c r="I16" s="35"/>
      <c r="J16" s="35"/>
      <c r="K16" s="35"/>
      <c r="L16" s="35"/>
      <c r="M16" s="35"/>
      <c r="N16" s="35"/>
      <c r="O16" s="35" t="e">
        <f>SUM(tblDaily[[#This Row],[JAN]:[DEC]])</f>
        <v>#VALUE!</v>
      </c>
      <c r="P16" s="13"/>
      <c r="Q16" s="3"/>
    </row>
    <row r="17" spans="1:17" s="5" customFormat="1" ht="22.25" customHeight="1" x14ac:dyDescent="0.15">
      <c r="A17" s="11"/>
      <c r="B17" s="12" t="s">
        <v>83</v>
      </c>
      <c r="C17" s="35"/>
      <c r="D17" s="35"/>
      <c r="E17" s="35"/>
      <c r="F17" s="35"/>
      <c r="G17" s="35"/>
      <c r="H17" s="35"/>
      <c r="I17" s="35"/>
      <c r="J17" s="35"/>
      <c r="K17" s="35"/>
      <c r="L17" s="35"/>
      <c r="M17" s="35"/>
      <c r="N17" s="35"/>
      <c r="O17" s="35" t="e">
        <f>SUM(tblDaily[[#This Row],[JAN]:[DEC]])</f>
        <v>#VALUE!</v>
      </c>
      <c r="P17" s="13"/>
      <c r="Q17" s="3"/>
    </row>
    <row r="18" spans="1:17" s="5" customFormat="1" ht="22.25" customHeight="1" x14ac:dyDescent="0.15">
      <c r="A18" s="11"/>
      <c r="B18" s="12" t="s">
        <v>74</v>
      </c>
      <c r="C18" s="35">
        <v>35</v>
      </c>
      <c r="D18" s="35">
        <v>35</v>
      </c>
      <c r="E18" s="35">
        <v>35</v>
      </c>
      <c r="F18" s="35"/>
      <c r="G18" s="35"/>
      <c r="H18" s="35"/>
      <c r="I18" s="35"/>
      <c r="J18" s="35"/>
      <c r="K18" s="35"/>
      <c r="L18" s="35"/>
      <c r="M18" s="35"/>
      <c r="N18" s="35"/>
      <c r="O18" s="35" t="e">
        <f>SUM(tblDaily[[#This Row],[JAN]:[DEC]])</f>
        <v>#VALUE!</v>
      </c>
      <c r="P18" s="13"/>
      <c r="Q18" s="3"/>
    </row>
    <row r="19" spans="1:17" s="5" customFormat="1" ht="22.25" customHeight="1" x14ac:dyDescent="0.15">
      <c r="A19" s="3"/>
      <c r="B19" s="12" t="s">
        <v>0</v>
      </c>
      <c r="C19" s="35">
        <v>165</v>
      </c>
      <c r="D19" s="35">
        <v>165</v>
      </c>
      <c r="E19" s="35">
        <v>165</v>
      </c>
      <c r="F19" s="35"/>
      <c r="G19" s="35"/>
      <c r="H19" s="35"/>
      <c r="I19" s="35"/>
      <c r="J19" s="35"/>
      <c r="K19" s="35"/>
      <c r="L19" s="35"/>
      <c r="M19" s="35"/>
      <c r="N19" s="35"/>
      <c r="O19" s="35" t="e">
        <f>SUM(tblDaily[[#This Row],[JAN]:[DEC]])</f>
        <v>#VALUE!</v>
      </c>
      <c r="P19" s="13"/>
      <c r="Q19" s="3"/>
    </row>
    <row r="20" spans="1:17" s="5" customFormat="1" ht="22.25" customHeight="1" x14ac:dyDescent="0.15">
      <c r="A20" s="11"/>
      <c r="B20" s="12" t="s">
        <v>1</v>
      </c>
      <c r="C20" s="35">
        <v>191</v>
      </c>
      <c r="D20" s="35">
        <v>152</v>
      </c>
      <c r="E20" s="35">
        <v>145</v>
      </c>
      <c r="F20" s="35"/>
      <c r="G20" s="35"/>
      <c r="H20" s="35"/>
      <c r="I20" s="35"/>
      <c r="J20" s="35"/>
      <c r="K20" s="35"/>
      <c r="L20" s="35"/>
      <c r="M20" s="35"/>
      <c r="N20" s="35"/>
      <c r="O20" s="35" t="e">
        <f>SUM(tblDaily[[#This Row],[JAN]:[DEC]])</f>
        <v>#VALUE!</v>
      </c>
      <c r="P20" s="13"/>
      <c r="Q20" s="3"/>
    </row>
    <row r="21" spans="1:17" s="5" customFormat="1" ht="22.25" customHeight="1" x14ac:dyDescent="0.15">
      <c r="A21" s="11"/>
      <c r="B21" s="12" t="s">
        <v>2</v>
      </c>
      <c r="C21" s="35">
        <v>200</v>
      </c>
      <c r="D21" s="35">
        <v>200</v>
      </c>
      <c r="E21" s="35">
        <v>200</v>
      </c>
      <c r="F21" s="35"/>
      <c r="G21" s="35"/>
      <c r="H21" s="35"/>
      <c r="I21" s="35"/>
      <c r="J21" s="35"/>
      <c r="K21" s="35"/>
      <c r="L21" s="35"/>
      <c r="M21" s="35"/>
      <c r="N21" s="35"/>
      <c r="O21" s="35" t="e">
        <f>SUM(tblDaily[[#This Row],[JAN]:[DEC]])</f>
        <v>#VALUE!</v>
      </c>
      <c r="P21" s="13"/>
      <c r="Q21" s="3"/>
    </row>
    <row r="22" spans="1:17" s="5" customFormat="1" ht="22.25" customHeight="1" x14ac:dyDescent="0.15">
      <c r="A22" s="11"/>
      <c r="B22" s="12" t="s">
        <v>3</v>
      </c>
      <c r="C22" s="35">
        <v>20</v>
      </c>
      <c r="D22" s="35"/>
      <c r="E22" s="35">
        <v>20</v>
      </c>
      <c r="F22" s="35"/>
      <c r="G22" s="35"/>
      <c r="H22" s="35"/>
      <c r="I22" s="35"/>
      <c r="J22" s="35"/>
      <c r="K22" s="35"/>
      <c r="L22" s="35"/>
      <c r="M22" s="35"/>
      <c r="N22" s="35"/>
      <c r="O22" s="35" t="e">
        <f>SUM(tblDaily[[#This Row],[JAN]:[DEC]])</f>
        <v>#VALUE!</v>
      </c>
      <c r="P22" s="13"/>
      <c r="Q22" s="3"/>
    </row>
    <row r="23" spans="1:17" s="5" customFormat="1" ht="22.25" customHeight="1" x14ac:dyDescent="0.15">
      <c r="A23" s="3"/>
      <c r="B23" s="12" t="s">
        <v>4</v>
      </c>
      <c r="C23" s="35">
        <v>55</v>
      </c>
      <c r="D23" s="35"/>
      <c r="E23" s="35">
        <v>56</v>
      </c>
      <c r="F23" s="35"/>
      <c r="G23" s="35"/>
      <c r="H23" s="35"/>
      <c r="I23" s="35"/>
      <c r="J23" s="35"/>
      <c r="K23" s="35"/>
      <c r="L23" s="35"/>
      <c r="M23" s="35"/>
      <c r="N23" s="35"/>
      <c r="O23" s="35" t="e">
        <f>SUM(tblDaily[[#This Row],[JAN]:[DEC]])</f>
        <v>#VALUE!</v>
      </c>
      <c r="P23" s="13"/>
      <c r="Q23" s="3"/>
    </row>
    <row r="24" spans="1:17" s="5" customFormat="1" ht="22.25" customHeight="1" x14ac:dyDescent="0.15">
      <c r="A24" s="11"/>
      <c r="B24" s="12" t="s">
        <v>5</v>
      </c>
      <c r="C24" s="35">
        <v>25</v>
      </c>
      <c r="D24" s="35">
        <v>17</v>
      </c>
      <c r="E24" s="35">
        <v>7</v>
      </c>
      <c r="F24" s="35"/>
      <c r="G24" s="35"/>
      <c r="H24" s="35"/>
      <c r="I24" s="35"/>
      <c r="J24" s="35"/>
      <c r="K24" s="35"/>
      <c r="L24" s="35"/>
      <c r="M24" s="35"/>
      <c r="N24" s="35"/>
      <c r="O24" s="35" t="e">
        <f>SUM(tblDaily[[#This Row],[JAN]:[DEC]])</f>
        <v>#VALUE!</v>
      </c>
      <c r="P24" s="13"/>
      <c r="Q24" s="3"/>
    </row>
    <row r="25" spans="1:17" ht="22.25" customHeight="1" x14ac:dyDescent="0.15">
      <c r="B25" s="12" t="s">
        <v>48</v>
      </c>
      <c r="C25" s="35">
        <f>SUBTOTAL(109,tblHome[JAN])</f>
        <v>3391</v>
      </c>
      <c r="D25" s="35">
        <f>SUBTOTAL(109,tblHome[FEB])</f>
        <v>3269</v>
      </c>
      <c r="E25" s="35">
        <f>SUBTOTAL(109,tblHome[MAR])</f>
        <v>3328</v>
      </c>
      <c r="F25" s="35">
        <f>SUBTOTAL(109,tblHome[APR])</f>
        <v>0</v>
      </c>
      <c r="G25" s="35">
        <f>SUBTOTAL(109,tblHome[MAY])</f>
        <v>0</v>
      </c>
      <c r="H25" s="35">
        <f>SUBTOTAL(109,tblHome[JUN])</f>
        <v>0</v>
      </c>
      <c r="I25" s="35">
        <f>SUBTOTAL(109,tblHome[JUL])</f>
        <v>0</v>
      </c>
      <c r="J25" s="35">
        <f>SUBTOTAL(109,tblHome[AUG])</f>
        <v>0</v>
      </c>
      <c r="K25" s="35">
        <f>SUBTOTAL(109,tblHome[SEP])</f>
        <v>0</v>
      </c>
      <c r="L25" s="35">
        <f>SUBTOTAL(109,tblHome[OCT])</f>
        <v>0</v>
      </c>
      <c r="M25" s="35">
        <f>SUBTOTAL(109,tblHome[NOV])</f>
        <v>0</v>
      </c>
      <c r="N25" s="35">
        <f>SUBTOTAL(109,tblHome[DEC])</f>
        <v>0</v>
      </c>
      <c r="O25" s="35" t="e">
        <f>SUBTOTAL(109,tblHome[YEAR])</f>
        <v>#VALUE!</v>
      </c>
      <c r="P25" s="14"/>
    </row>
    <row r="26" spans="1:17" s="22" customFormat="1" ht="22" customHeight="1" x14ac:dyDescent="0.2">
      <c r="A26" s="18"/>
      <c r="B26" s="1"/>
      <c r="C26" s="2"/>
      <c r="D26" s="2"/>
      <c r="E26" s="2"/>
      <c r="F26" s="2"/>
      <c r="G26" s="2"/>
      <c r="H26" s="2"/>
      <c r="I26" s="2"/>
      <c r="J26" s="2"/>
      <c r="K26" s="2"/>
      <c r="L26" s="2"/>
      <c r="M26" s="2"/>
      <c r="N26" s="2"/>
      <c r="O26" s="2"/>
      <c r="P26" s="9"/>
      <c r="Q26" s="20"/>
    </row>
    <row r="27" spans="1:17" s="5" customFormat="1" ht="30" customHeight="1" x14ac:dyDescent="0.15">
      <c r="A27" s="11"/>
      <c r="B27" s="19" t="s">
        <v>87</v>
      </c>
      <c r="C27" s="33" t="s">
        <v>60</v>
      </c>
      <c r="D27" s="33" t="s">
        <v>61</v>
      </c>
      <c r="E27" s="33" t="s">
        <v>63</v>
      </c>
      <c r="F27" s="33" t="s">
        <v>64</v>
      </c>
      <c r="G27" s="33" t="s">
        <v>62</v>
      </c>
      <c r="H27" s="33" t="s">
        <v>65</v>
      </c>
      <c r="I27" s="33" t="s">
        <v>66</v>
      </c>
      <c r="J27" s="33" t="s">
        <v>67</v>
      </c>
      <c r="K27" s="33" t="s">
        <v>68</v>
      </c>
      <c r="L27" s="33" t="s">
        <v>69</v>
      </c>
      <c r="M27" s="33" t="s">
        <v>70</v>
      </c>
      <c r="N27" s="33" t="s">
        <v>71</v>
      </c>
      <c r="O27" s="33" t="s">
        <v>72</v>
      </c>
      <c r="P27" s="34" t="s">
        <v>75</v>
      </c>
      <c r="Q27" s="3"/>
    </row>
    <row r="28" spans="1:17" s="5" customFormat="1" ht="22.25" customHeight="1" x14ac:dyDescent="0.15">
      <c r="A28" s="11"/>
      <c r="B28" s="12" t="s">
        <v>80</v>
      </c>
      <c r="C28" s="35">
        <v>760</v>
      </c>
      <c r="D28" s="35">
        <v>760</v>
      </c>
      <c r="E28" s="35">
        <v>760</v>
      </c>
      <c r="F28" s="35"/>
      <c r="G28" s="35"/>
      <c r="H28" s="35"/>
      <c r="I28" s="35"/>
      <c r="J28" s="35"/>
      <c r="K28" s="35"/>
      <c r="L28" s="35"/>
      <c r="M28" s="35"/>
      <c r="N28" s="35"/>
      <c r="O28" s="35">
        <f>SUM(tblDaily[[#This Row],[JAN]:[DEC]])</f>
        <v>2280</v>
      </c>
      <c r="P28" s="13"/>
      <c r="Q28" s="3"/>
    </row>
    <row r="29" spans="1:17" s="5" customFormat="1" ht="22.25" customHeight="1" x14ac:dyDescent="0.15">
      <c r="A29" s="11"/>
      <c r="B29" s="12" t="s">
        <v>92</v>
      </c>
      <c r="C29" s="35">
        <v>200</v>
      </c>
      <c r="D29" s="35">
        <v>200</v>
      </c>
      <c r="E29" s="35">
        <v>200</v>
      </c>
      <c r="F29" s="35"/>
      <c r="G29" s="35"/>
      <c r="H29" s="35"/>
      <c r="I29" s="35"/>
      <c r="J29" s="35"/>
      <c r="K29" s="35"/>
      <c r="L29" s="35"/>
      <c r="M29" s="35"/>
      <c r="N29" s="35"/>
      <c r="O29" s="35">
        <f>SUM(tblDaily[[#This Row],[JAN]:[DEC]])</f>
        <v>600</v>
      </c>
      <c r="P29" s="13"/>
      <c r="Q29" s="3"/>
    </row>
    <row r="30" spans="1:17" s="5" customFormat="1" ht="22.25" customHeight="1" x14ac:dyDescent="0.15">
      <c r="A30" s="11"/>
      <c r="B30" s="12" t="s">
        <v>88</v>
      </c>
      <c r="C30" s="35">
        <v>90</v>
      </c>
      <c r="D30" s="35">
        <v>90</v>
      </c>
      <c r="E30" s="35">
        <v>90</v>
      </c>
      <c r="F30" s="35"/>
      <c r="G30" s="35"/>
      <c r="H30" s="35"/>
      <c r="I30" s="35"/>
      <c r="J30" s="35"/>
      <c r="K30" s="35"/>
      <c r="L30" s="35"/>
      <c r="M30" s="35"/>
      <c r="N30" s="35"/>
      <c r="O30" s="35">
        <f>SUM(tblDaily[[#This Row],[JAN]:[DEC]])</f>
        <v>270</v>
      </c>
      <c r="P30" s="13"/>
      <c r="Q30" s="3"/>
    </row>
    <row r="31" spans="1:17" s="5" customFormat="1" ht="22.25" customHeight="1" x14ac:dyDescent="0.15">
      <c r="A31" s="3"/>
      <c r="B31" s="12" t="s">
        <v>89</v>
      </c>
      <c r="C31" s="35">
        <v>55</v>
      </c>
      <c r="D31" s="35"/>
      <c r="E31" s="35">
        <v>56</v>
      </c>
      <c r="F31" s="35"/>
      <c r="G31" s="35"/>
      <c r="H31" s="35"/>
      <c r="I31" s="35"/>
      <c r="J31" s="35"/>
      <c r="K31" s="35"/>
      <c r="L31" s="35"/>
      <c r="M31" s="35"/>
      <c r="N31" s="35"/>
      <c r="O31" s="35">
        <f>SUM(tblDaily[[#This Row],[JAN]:[DEC]])</f>
        <v>111</v>
      </c>
      <c r="P31" s="13"/>
      <c r="Q31" s="3"/>
    </row>
    <row r="32" spans="1:17" s="5" customFormat="1" ht="22.25" customHeight="1" x14ac:dyDescent="0.15">
      <c r="A32" s="11"/>
      <c r="B32" s="12" t="s">
        <v>90</v>
      </c>
      <c r="C32" s="35">
        <v>25</v>
      </c>
      <c r="D32" s="35">
        <v>17</v>
      </c>
      <c r="E32" s="35">
        <v>7</v>
      </c>
      <c r="F32" s="35"/>
      <c r="G32" s="35"/>
      <c r="H32" s="35"/>
      <c r="I32" s="35"/>
      <c r="J32" s="35"/>
      <c r="K32" s="35"/>
      <c r="L32" s="35"/>
      <c r="M32" s="35"/>
      <c r="N32" s="35"/>
      <c r="O32" s="35">
        <f>SUM(tblDaily[[#This Row],[JAN]:[DEC]])</f>
        <v>49</v>
      </c>
      <c r="P32" s="13"/>
      <c r="Q32" s="3"/>
    </row>
    <row r="33" spans="1:17" ht="22.25" customHeight="1" x14ac:dyDescent="0.15">
      <c r="B33" s="12" t="s">
        <v>91</v>
      </c>
      <c r="C33" s="35">
        <v>80</v>
      </c>
      <c r="D33" s="35">
        <v>80</v>
      </c>
      <c r="E33" s="35">
        <v>80</v>
      </c>
      <c r="F33" s="35"/>
      <c r="G33" s="35"/>
      <c r="H33" s="35"/>
      <c r="I33" s="35"/>
      <c r="J33" s="35"/>
      <c r="K33" s="35"/>
      <c r="L33" s="35"/>
      <c r="M33" s="35"/>
      <c r="N33" s="35"/>
      <c r="O33" s="35">
        <f>SUM(tblDaily[[#This Row],[JAN]:[DEC]])</f>
        <v>240</v>
      </c>
      <c r="P33" s="13"/>
    </row>
    <row r="34" spans="1:17" s="22" customFormat="1" ht="22.25" customHeight="1" x14ac:dyDescent="0.2">
      <c r="A34" s="18"/>
      <c r="B34" s="12" t="s">
        <v>48</v>
      </c>
      <c r="C34" s="35">
        <f>SUBTOTAL(109,tblDaily[JAN])</f>
        <v>1210</v>
      </c>
      <c r="D34" s="35">
        <f>SUBTOTAL(109,tblDaily[FEB])</f>
        <v>1147</v>
      </c>
      <c r="E34" s="35">
        <f>SUBTOTAL(109,tblDaily[MAR])</f>
        <v>1193</v>
      </c>
      <c r="F34" s="35">
        <f>SUBTOTAL(109,tblDaily[APR])</f>
        <v>0</v>
      </c>
      <c r="G34" s="35">
        <f>SUBTOTAL(109,tblDaily[MAY])</f>
        <v>0</v>
      </c>
      <c r="H34" s="35">
        <f>SUBTOTAL(109,tblDaily[JUN])</f>
        <v>0</v>
      </c>
      <c r="I34" s="35">
        <f>SUBTOTAL(109,tblDaily[JUL])</f>
        <v>0</v>
      </c>
      <c r="J34" s="35">
        <f>SUBTOTAL(109,tblDaily[AUG])</f>
        <v>0</v>
      </c>
      <c r="K34" s="35">
        <f>SUBTOTAL(109,tblDaily[SEP])</f>
        <v>0</v>
      </c>
      <c r="L34" s="35">
        <f>SUBTOTAL(109,tblDaily[OCT])</f>
        <v>0</v>
      </c>
      <c r="M34" s="35">
        <f>SUBTOTAL(109,tblDaily[NOV])</f>
        <v>0</v>
      </c>
      <c r="N34" s="35">
        <f>SUBTOTAL(109,tblDaily[DEC])</f>
        <v>0</v>
      </c>
      <c r="O34" s="35">
        <f>SUBTOTAL(109,tblDaily[YEAR])</f>
        <v>3550</v>
      </c>
      <c r="P34" s="14"/>
      <c r="Q34" s="20"/>
    </row>
    <row r="35" spans="1:17" s="5" customFormat="1" ht="22" customHeight="1" x14ac:dyDescent="0.15">
      <c r="A35" s="11"/>
      <c r="B35" s="3"/>
      <c r="C35" s="4"/>
      <c r="D35" s="4"/>
      <c r="E35" s="4"/>
      <c r="F35" s="4"/>
      <c r="G35" s="4"/>
      <c r="H35" s="4"/>
      <c r="I35" s="4"/>
      <c r="J35" s="4"/>
      <c r="K35" s="4"/>
      <c r="L35" s="4"/>
      <c r="M35" s="4"/>
      <c r="N35" s="4"/>
      <c r="O35" s="4"/>
      <c r="P35" s="3"/>
      <c r="Q35" s="3"/>
    </row>
    <row r="36" spans="1:17" s="5" customFormat="1" ht="30" customHeight="1" x14ac:dyDescent="0.15">
      <c r="A36" s="11"/>
      <c r="B36" s="19" t="s">
        <v>51</v>
      </c>
      <c r="C36" s="33" t="s">
        <v>60</v>
      </c>
      <c r="D36" s="33" t="s">
        <v>61</v>
      </c>
      <c r="E36" s="33" t="s">
        <v>63</v>
      </c>
      <c r="F36" s="33" t="s">
        <v>64</v>
      </c>
      <c r="G36" s="33" t="s">
        <v>62</v>
      </c>
      <c r="H36" s="33" t="s">
        <v>65</v>
      </c>
      <c r="I36" s="33" t="s">
        <v>66</v>
      </c>
      <c r="J36" s="33" t="s">
        <v>67</v>
      </c>
      <c r="K36" s="33" t="s">
        <v>68</v>
      </c>
      <c r="L36" s="33" t="s">
        <v>69</v>
      </c>
      <c r="M36" s="33" t="s">
        <v>70</v>
      </c>
      <c r="N36" s="33" t="s">
        <v>71</v>
      </c>
      <c r="O36" s="33" t="s">
        <v>72</v>
      </c>
      <c r="P36" s="34" t="s">
        <v>75</v>
      </c>
      <c r="Q36" s="3"/>
    </row>
    <row r="37" spans="1:17" s="5" customFormat="1" ht="22.25" customHeight="1" x14ac:dyDescent="0.15">
      <c r="A37" s="11"/>
      <c r="B37" s="12" t="s">
        <v>6</v>
      </c>
      <c r="C37" s="35">
        <v>195</v>
      </c>
      <c r="D37" s="35">
        <v>125</v>
      </c>
      <c r="E37" s="35">
        <v>171</v>
      </c>
      <c r="F37" s="35"/>
      <c r="G37" s="35"/>
      <c r="H37" s="35"/>
      <c r="I37" s="35"/>
      <c r="J37" s="35"/>
      <c r="K37" s="35"/>
      <c r="L37" s="35"/>
      <c r="M37" s="35"/>
      <c r="N37" s="35"/>
      <c r="O37" s="35">
        <f>SUM(tblTransportation[[#This Row],[JAN]:[DEC]])</f>
        <v>491</v>
      </c>
      <c r="P37" s="13"/>
      <c r="Q37" s="3"/>
    </row>
    <row r="38" spans="1:17" s="5" customFormat="1" ht="22.25" customHeight="1" x14ac:dyDescent="0.15">
      <c r="A38" s="11"/>
      <c r="B38" s="12" t="s">
        <v>7</v>
      </c>
      <c r="C38" s="35">
        <v>165</v>
      </c>
      <c r="D38" s="35">
        <v>165</v>
      </c>
      <c r="E38" s="35">
        <v>165</v>
      </c>
      <c r="F38" s="35"/>
      <c r="G38" s="35"/>
      <c r="H38" s="35"/>
      <c r="I38" s="35"/>
      <c r="J38" s="35"/>
      <c r="K38" s="35"/>
      <c r="L38" s="35"/>
      <c r="M38" s="35"/>
      <c r="N38" s="35"/>
      <c r="O38" s="35">
        <f>SUM(tblTransportation[[#This Row],[JAN]:[DEC]])</f>
        <v>495</v>
      </c>
      <c r="P38" s="13"/>
      <c r="Q38" s="3"/>
    </row>
    <row r="39" spans="1:17" s="5" customFormat="1" ht="22.25" customHeight="1" x14ac:dyDescent="0.15">
      <c r="A39" s="3"/>
      <c r="B39" s="12" t="s">
        <v>8</v>
      </c>
      <c r="C39" s="35"/>
      <c r="D39" s="35"/>
      <c r="E39" s="35"/>
      <c r="F39" s="35"/>
      <c r="G39" s="35"/>
      <c r="H39" s="35"/>
      <c r="I39" s="35"/>
      <c r="J39" s="35"/>
      <c r="K39" s="35"/>
      <c r="L39" s="35"/>
      <c r="M39" s="35"/>
      <c r="N39" s="35"/>
      <c r="O39" s="35">
        <f>SUM(tblTransportation[[#This Row],[JAN]:[DEC]])</f>
        <v>0</v>
      </c>
      <c r="P39" s="13"/>
      <c r="Q39" s="3"/>
    </row>
    <row r="40" spans="1:17" s="5" customFormat="1" ht="22.25" customHeight="1" x14ac:dyDescent="0.15">
      <c r="A40" s="11"/>
      <c r="B40" s="12" t="s">
        <v>9</v>
      </c>
      <c r="C40" s="35">
        <v>10</v>
      </c>
      <c r="D40" s="35"/>
      <c r="E40" s="35"/>
      <c r="F40" s="35"/>
      <c r="G40" s="35"/>
      <c r="H40" s="35"/>
      <c r="I40" s="35"/>
      <c r="J40" s="35"/>
      <c r="K40" s="35"/>
      <c r="L40" s="35"/>
      <c r="M40" s="35"/>
      <c r="N40" s="35"/>
      <c r="O40" s="35">
        <f>SUM(tblTransportation[[#This Row],[JAN]:[DEC]])</f>
        <v>10</v>
      </c>
      <c r="P40" s="13"/>
      <c r="Q40" s="3"/>
    </row>
    <row r="41" spans="1:17" s="5" customFormat="1" ht="22.25" customHeight="1" x14ac:dyDescent="0.15">
      <c r="A41" s="11"/>
      <c r="B41" s="12" t="s">
        <v>10</v>
      </c>
      <c r="C41" s="35">
        <v>10</v>
      </c>
      <c r="D41" s="35">
        <v>40</v>
      </c>
      <c r="E41" s="35">
        <v>20</v>
      </c>
      <c r="F41" s="35"/>
      <c r="G41" s="35"/>
      <c r="H41" s="35"/>
      <c r="I41" s="35"/>
      <c r="J41" s="35"/>
      <c r="K41" s="35"/>
      <c r="L41" s="35"/>
      <c r="M41" s="35"/>
      <c r="N41" s="35"/>
      <c r="O41" s="35">
        <f>SUM(tblTransportation[[#This Row],[JAN]:[DEC]])</f>
        <v>70</v>
      </c>
      <c r="P41" s="13"/>
      <c r="Q41" s="3"/>
    </row>
    <row r="42" spans="1:17" ht="22.25" customHeight="1" x14ac:dyDescent="0.15">
      <c r="B42" s="12" t="s">
        <v>11</v>
      </c>
      <c r="C42" s="35">
        <v>20</v>
      </c>
      <c r="D42" s="35">
        <v>40</v>
      </c>
      <c r="E42" s="35">
        <v>30</v>
      </c>
      <c r="F42" s="35"/>
      <c r="G42" s="35"/>
      <c r="H42" s="35"/>
      <c r="I42" s="35"/>
      <c r="J42" s="35"/>
      <c r="K42" s="35"/>
      <c r="L42" s="35"/>
      <c r="M42" s="35"/>
      <c r="N42" s="35"/>
      <c r="O42" s="35">
        <f>SUM(tblTransportation[[#This Row],[JAN]:[DEC]])</f>
        <v>90</v>
      </c>
      <c r="P42" s="13"/>
    </row>
    <row r="43" spans="1:17" s="22" customFormat="1" ht="22.25" customHeight="1" x14ac:dyDescent="0.2">
      <c r="A43" s="18"/>
      <c r="B43" s="12" t="s">
        <v>48</v>
      </c>
      <c r="C43" s="35">
        <f>SUBTOTAL(109,tblTransportation[JAN])</f>
        <v>400</v>
      </c>
      <c r="D43" s="35">
        <f>SUBTOTAL(109,tblTransportation[FEB])</f>
        <v>370</v>
      </c>
      <c r="E43" s="35">
        <f>SUBTOTAL(109,tblTransportation[MAR])</f>
        <v>386</v>
      </c>
      <c r="F43" s="35">
        <f>SUBTOTAL(109,tblTransportation[APR])</f>
        <v>0</v>
      </c>
      <c r="G43" s="35">
        <f>SUBTOTAL(109,tblTransportation[MAY])</f>
        <v>0</v>
      </c>
      <c r="H43" s="35">
        <f>SUBTOTAL(109,tblTransportation[JUN])</f>
        <v>0</v>
      </c>
      <c r="I43" s="35">
        <f>SUBTOTAL(109,tblTransportation[JUL])</f>
        <v>0</v>
      </c>
      <c r="J43" s="35">
        <f>SUBTOTAL(109,tblTransportation[AUG])</f>
        <v>0</v>
      </c>
      <c r="K43" s="35">
        <f>SUBTOTAL(109,tblTransportation[SEP])</f>
        <v>0</v>
      </c>
      <c r="L43" s="35">
        <f>SUBTOTAL(109,tblTransportation[OCT])</f>
        <v>0</v>
      </c>
      <c r="M43" s="35">
        <f>SUBTOTAL(109,tblTransportation[NOV])</f>
        <v>0</v>
      </c>
      <c r="N43" s="35">
        <f>SUBTOTAL(109,tblTransportation[DEC])</f>
        <v>0</v>
      </c>
      <c r="O43" s="35">
        <f>SUBTOTAL(109,tblTransportation[YEAR])</f>
        <v>1156</v>
      </c>
      <c r="P43" s="14"/>
      <c r="Q43" s="20"/>
    </row>
    <row r="44" spans="1:17" s="5" customFormat="1" ht="22" customHeight="1" x14ac:dyDescent="0.15">
      <c r="A44" s="11"/>
      <c r="B44" s="3"/>
      <c r="C44" s="4"/>
      <c r="D44" s="4"/>
      <c r="E44" s="4"/>
      <c r="F44" s="4"/>
      <c r="G44" s="4"/>
      <c r="H44" s="4"/>
      <c r="I44" s="4"/>
      <c r="J44" s="4"/>
      <c r="K44" s="4"/>
      <c r="L44" s="4"/>
      <c r="M44" s="4"/>
      <c r="N44" s="4"/>
      <c r="O44" s="4"/>
      <c r="P44" s="3"/>
      <c r="Q44" s="3"/>
    </row>
    <row r="45" spans="1:17" s="5" customFormat="1" ht="30" customHeight="1" x14ac:dyDescent="0.15">
      <c r="A45" s="11"/>
      <c r="B45" s="19" t="s">
        <v>52</v>
      </c>
      <c r="C45" s="33" t="s">
        <v>60</v>
      </c>
      <c r="D45" s="33" t="s">
        <v>61</v>
      </c>
      <c r="E45" s="33" t="s">
        <v>63</v>
      </c>
      <c r="F45" s="33" t="s">
        <v>64</v>
      </c>
      <c r="G45" s="33" t="s">
        <v>62</v>
      </c>
      <c r="H45" s="33" t="s">
        <v>65</v>
      </c>
      <c r="I45" s="33" t="s">
        <v>66</v>
      </c>
      <c r="J45" s="33" t="s">
        <v>67</v>
      </c>
      <c r="K45" s="33" t="s">
        <v>68</v>
      </c>
      <c r="L45" s="33" t="s">
        <v>69</v>
      </c>
      <c r="M45" s="33" t="s">
        <v>70</v>
      </c>
      <c r="N45" s="33" t="s">
        <v>71</v>
      </c>
      <c r="O45" s="33" t="s">
        <v>72</v>
      </c>
      <c r="P45" s="34" t="s">
        <v>75</v>
      </c>
      <c r="Q45" s="3"/>
    </row>
    <row r="46" spans="1:17" s="5" customFormat="1" ht="22.25" customHeight="1" x14ac:dyDescent="0.15">
      <c r="A46" s="11"/>
      <c r="B46" s="12" t="s">
        <v>12</v>
      </c>
      <c r="C46" s="35">
        <v>85</v>
      </c>
      <c r="D46" s="35">
        <v>85</v>
      </c>
      <c r="E46" s="35">
        <v>85</v>
      </c>
      <c r="F46" s="35"/>
      <c r="G46" s="35"/>
      <c r="H46" s="35"/>
      <c r="I46" s="35"/>
      <c r="J46" s="35"/>
      <c r="K46" s="35"/>
      <c r="L46" s="35"/>
      <c r="M46" s="35"/>
      <c r="N46" s="35"/>
      <c r="O46" s="35">
        <f>SUM(tblEntertainment[[#This Row],[JAN]:[DEC]])</f>
        <v>255</v>
      </c>
      <c r="P46" s="13"/>
      <c r="Q46" s="3"/>
    </row>
    <row r="47" spans="1:17" s="5" customFormat="1" ht="22.25" customHeight="1" x14ac:dyDescent="0.15">
      <c r="A47" s="11"/>
      <c r="B47" s="12" t="s">
        <v>13</v>
      </c>
      <c r="C47" s="35">
        <v>7</v>
      </c>
      <c r="D47" s="35">
        <v>8</v>
      </c>
      <c r="E47" s="35">
        <v>9</v>
      </c>
      <c r="F47" s="35"/>
      <c r="G47" s="35"/>
      <c r="H47" s="35"/>
      <c r="I47" s="35"/>
      <c r="J47" s="35"/>
      <c r="K47" s="35"/>
      <c r="L47" s="35"/>
      <c r="M47" s="35"/>
      <c r="N47" s="35"/>
      <c r="O47" s="35">
        <f>SUM(tblEntertainment[[#This Row],[JAN]:[DEC]])</f>
        <v>24</v>
      </c>
      <c r="P47" s="13"/>
      <c r="Q47" s="3"/>
    </row>
    <row r="48" spans="1:17" s="5" customFormat="1" ht="22.25" customHeight="1" x14ac:dyDescent="0.15">
      <c r="A48" s="11"/>
      <c r="B48" s="12" t="s">
        <v>14</v>
      </c>
      <c r="C48" s="35">
        <v>9</v>
      </c>
      <c r="D48" s="35">
        <v>5</v>
      </c>
      <c r="E48" s="35">
        <v>9</v>
      </c>
      <c r="F48" s="35"/>
      <c r="G48" s="35"/>
      <c r="H48" s="35"/>
      <c r="I48" s="35"/>
      <c r="J48" s="35"/>
      <c r="K48" s="35"/>
      <c r="L48" s="35"/>
      <c r="M48" s="35"/>
      <c r="N48" s="35"/>
      <c r="O48" s="35">
        <f>SUM(tblEntertainment[[#This Row],[JAN]:[DEC]])</f>
        <v>23</v>
      </c>
      <c r="P48" s="13"/>
      <c r="Q48" s="3"/>
    </row>
    <row r="49" spans="1:17" ht="22.25" customHeight="1" x14ac:dyDescent="0.15">
      <c r="B49" s="12" t="s">
        <v>15</v>
      </c>
      <c r="C49" s="35">
        <v>5</v>
      </c>
      <c r="D49" s="35">
        <v>5</v>
      </c>
      <c r="E49" s="35">
        <v>7</v>
      </c>
      <c r="F49" s="35"/>
      <c r="G49" s="35"/>
      <c r="H49" s="35"/>
      <c r="I49" s="35"/>
      <c r="J49" s="35"/>
      <c r="K49" s="35"/>
      <c r="L49" s="35"/>
      <c r="M49" s="35"/>
      <c r="N49" s="35"/>
      <c r="O49" s="35">
        <f>SUM(tblEntertainment[[#This Row],[JAN]:[DEC]])</f>
        <v>17</v>
      </c>
      <c r="P49" s="13"/>
    </row>
    <row r="50" spans="1:17" s="22" customFormat="1" ht="22.25" customHeight="1" x14ac:dyDescent="0.2">
      <c r="A50" s="18"/>
      <c r="B50" s="12" t="s">
        <v>48</v>
      </c>
      <c r="C50" s="35">
        <f>SUBTOTAL(109,tblEntertainment[JAN])</f>
        <v>106</v>
      </c>
      <c r="D50" s="35">
        <f>SUBTOTAL(109,tblEntertainment[FEB])</f>
        <v>103</v>
      </c>
      <c r="E50" s="35">
        <f>SUBTOTAL(109,tblEntertainment[MAR])</f>
        <v>110</v>
      </c>
      <c r="F50" s="35">
        <f>SUBTOTAL(109,tblEntertainment[APR])</f>
        <v>0</v>
      </c>
      <c r="G50" s="35">
        <f>SUBTOTAL(109,tblEntertainment[MAY])</f>
        <v>0</v>
      </c>
      <c r="H50" s="35">
        <f>SUBTOTAL(109,tblEntertainment[JUN])</f>
        <v>0</v>
      </c>
      <c r="I50" s="35">
        <f>SUBTOTAL(109,tblEntertainment[JUL])</f>
        <v>0</v>
      </c>
      <c r="J50" s="35">
        <f>SUBTOTAL(109,tblEntertainment[AUG])</f>
        <v>0</v>
      </c>
      <c r="K50" s="35">
        <f>SUBTOTAL(109,tblEntertainment[SEP])</f>
        <v>0</v>
      </c>
      <c r="L50" s="35">
        <f>SUBTOTAL(109,tblEntertainment[OCT])</f>
        <v>0</v>
      </c>
      <c r="M50" s="35">
        <f>SUBTOTAL(109,tblEntertainment[NOV])</f>
        <v>0</v>
      </c>
      <c r="N50" s="35">
        <f>SUBTOTAL(109,tblEntertainment[DEC])</f>
        <v>0</v>
      </c>
      <c r="O50" s="35">
        <f>SUBTOTAL(109,tblEntertainment[YEAR])</f>
        <v>319</v>
      </c>
      <c r="P50" s="14"/>
      <c r="Q50" s="20"/>
    </row>
    <row r="51" spans="1:17" s="5" customFormat="1" ht="22" customHeight="1" x14ac:dyDescent="0.15">
      <c r="A51" s="11"/>
      <c r="B51" s="3"/>
      <c r="C51" s="4"/>
      <c r="D51" s="4"/>
      <c r="E51" s="4"/>
      <c r="F51" s="4"/>
      <c r="G51" s="4"/>
      <c r="H51" s="4"/>
      <c r="I51" s="4"/>
      <c r="J51" s="4"/>
      <c r="K51" s="4"/>
      <c r="L51" s="4"/>
      <c r="M51" s="4"/>
      <c r="N51" s="4"/>
      <c r="O51" s="4"/>
      <c r="P51" s="3"/>
      <c r="Q51" s="3"/>
    </row>
    <row r="52" spans="1:17" s="5" customFormat="1" ht="30" customHeight="1" x14ac:dyDescent="0.15">
      <c r="A52" s="11"/>
      <c r="B52" s="19" t="s">
        <v>53</v>
      </c>
      <c r="C52" s="33" t="s">
        <v>60</v>
      </c>
      <c r="D52" s="33" t="s">
        <v>61</v>
      </c>
      <c r="E52" s="33" t="s">
        <v>63</v>
      </c>
      <c r="F52" s="33" t="s">
        <v>64</v>
      </c>
      <c r="G52" s="33" t="s">
        <v>62</v>
      </c>
      <c r="H52" s="33" t="s">
        <v>65</v>
      </c>
      <c r="I52" s="33" t="s">
        <v>66</v>
      </c>
      <c r="J52" s="33" t="s">
        <v>67</v>
      </c>
      <c r="K52" s="33" t="s">
        <v>68</v>
      </c>
      <c r="L52" s="33" t="s">
        <v>69</v>
      </c>
      <c r="M52" s="33" t="s">
        <v>70</v>
      </c>
      <c r="N52" s="33" t="s">
        <v>71</v>
      </c>
      <c r="O52" s="33" t="s">
        <v>72</v>
      </c>
      <c r="P52" s="34" t="s">
        <v>75</v>
      </c>
      <c r="Q52" s="3"/>
    </row>
    <row r="53" spans="1:17" s="5" customFormat="1" ht="22.25" customHeight="1" x14ac:dyDescent="0.15">
      <c r="A53" s="11"/>
      <c r="B53" s="12" t="s">
        <v>16</v>
      </c>
      <c r="C53" s="35">
        <v>50</v>
      </c>
      <c r="D53" s="35">
        <v>50</v>
      </c>
      <c r="E53" s="35">
        <v>50</v>
      </c>
      <c r="F53" s="35"/>
      <c r="G53" s="35"/>
      <c r="H53" s="35"/>
      <c r="I53" s="35"/>
      <c r="J53" s="35"/>
      <c r="K53" s="35"/>
      <c r="L53" s="35"/>
      <c r="M53" s="35"/>
      <c r="N53" s="35"/>
      <c r="O53" s="35">
        <f>SUM(tblHealth[[#This Row],[JAN]:[DEC]])</f>
        <v>150</v>
      </c>
      <c r="P53" s="13"/>
      <c r="Q53" s="3"/>
    </row>
    <row r="54" spans="1:17" s="5" customFormat="1" ht="22.25" customHeight="1" x14ac:dyDescent="0.15">
      <c r="A54" s="3"/>
      <c r="B54" s="12" t="s">
        <v>7</v>
      </c>
      <c r="C54" s="35">
        <v>225</v>
      </c>
      <c r="D54" s="35">
        <v>225</v>
      </c>
      <c r="E54" s="35">
        <v>225</v>
      </c>
      <c r="F54" s="35"/>
      <c r="G54" s="35"/>
      <c r="H54" s="35"/>
      <c r="I54" s="35"/>
      <c r="J54" s="35"/>
      <c r="K54" s="35"/>
      <c r="L54" s="35"/>
      <c r="M54" s="35"/>
      <c r="N54" s="35"/>
      <c r="O54" s="35">
        <f>SUM(tblHealth[[#This Row],[JAN]:[DEC]])</f>
        <v>675</v>
      </c>
      <c r="P54" s="13"/>
      <c r="Q54" s="3"/>
    </row>
    <row r="55" spans="1:17" s="5" customFormat="1" ht="22.25" customHeight="1" x14ac:dyDescent="0.15">
      <c r="A55" s="11"/>
      <c r="B55" s="12" t="s">
        <v>17</v>
      </c>
      <c r="C55" s="35">
        <v>100</v>
      </c>
      <c r="D55" s="35">
        <v>100</v>
      </c>
      <c r="E55" s="35">
        <v>100</v>
      </c>
      <c r="F55" s="35"/>
      <c r="G55" s="35"/>
      <c r="H55" s="35"/>
      <c r="I55" s="35"/>
      <c r="J55" s="35"/>
      <c r="K55" s="35"/>
      <c r="L55" s="35"/>
      <c r="M55" s="35"/>
      <c r="N55" s="35"/>
      <c r="O55" s="35">
        <f>SUM(tblHealth[[#This Row],[JAN]:[DEC]])</f>
        <v>300</v>
      </c>
      <c r="P55" s="13"/>
      <c r="Q55" s="3"/>
    </row>
    <row r="56" spans="1:17" s="5" customFormat="1" ht="22.25" customHeight="1" x14ac:dyDescent="0.15">
      <c r="A56" s="11"/>
      <c r="B56" s="12" t="s">
        <v>85</v>
      </c>
      <c r="C56" s="35">
        <v>6</v>
      </c>
      <c r="D56" s="35">
        <v>2</v>
      </c>
      <c r="E56" s="35">
        <v>9</v>
      </c>
      <c r="F56" s="35"/>
      <c r="G56" s="35"/>
      <c r="H56" s="35"/>
      <c r="I56" s="35"/>
      <c r="J56" s="35"/>
      <c r="K56" s="35"/>
      <c r="L56" s="35"/>
      <c r="M56" s="35"/>
      <c r="N56" s="35"/>
      <c r="O56" s="35">
        <f>SUM(tblHealth[[#This Row],[JAN]:[DEC]])</f>
        <v>17</v>
      </c>
      <c r="P56" s="13"/>
      <c r="Q56" s="3"/>
    </row>
    <row r="57" spans="1:17" s="5" customFormat="1" ht="22.25" customHeight="1" x14ac:dyDescent="0.15">
      <c r="A57" s="11"/>
      <c r="B57" s="12" t="s">
        <v>18</v>
      </c>
      <c r="C57" s="35">
        <v>20</v>
      </c>
      <c r="D57" s="35"/>
      <c r="E57" s="35">
        <v>41</v>
      </c>
      <c r="F57" s="35"/>
      <c r="G57" s="35"/>
      <c r="H57" s="35"/>
      <c r="I57" s="35"/>
      <c r="J57" s="35"/>
      <c r="K57" s="35"/>
      <c r="L57" s="35"/>
      <c r="M57" s="35"/>
      <c r="N57" s="35"/>
      <c r="O57" s="35">
        <f>SUM(tblHealth[[#This Row],[JAN]:[DEC]])</f>
        <v>61</v>
      </c>
      <c r="P57" s="13"/>
      <c r="Q57" s="3"/>
    </row>
    <row r="58" spans="1:17" s="5" customFormat="1" ht="22.25" customHeight="1" x14ac:dyDescent="0.15">
      <c r="A58" s="11"/>
      <c r="B58" s="12" t="s">
        <v>19</v>
      </c>
      <c r="C58" s="35">
        <v>4</v>
      </c>
      <c r="D58" s="35"/>
      <c r="E58" s="35">
        <v>25</v>
      </c>
      <c r="F58" s="35"/>
      <c r="G58" s="35"/>
      <c r="H58" s="35"/>
      <c r="I58" s="35"/>
      <c r="J58" s="35"/>
      <c r="K58" s="35"/>
      <c r="L58" s="35"/>
      <c r="M58" s="35"/>
      <c r="N58" s="35"/>
      <c r="O58" s="35">
        <f>SUM(tblHealth[[#This Row],[JAN]:[DEC]])</f>
        <v>29</v>
      </c>
      <c r="P58" s="13"/>
      <c r="Q58" s="3"/>
    </row>
    <row r="59" spans="1:17" ht="22.25" customHeight="1" x14ac:dyDescent="0.15">
      <c r="B59" s="12" t="s">
        <v>20</v>
      </c>
      <c r="C59" s="35">
        <v>55</v>
      </c>
      <c r="D59" s="35">
        <v>55</v>
      </c>
      <c r="E59" s="35">
        <v>55</v>
      </c>
      <c r="F59" s="35"/>
      <c r="G59" s="35"/>
      <c r="H59" s="35"/>
      <c r="I59" s="35"/>
      <c r="J59" s="35"/>
      <c r="K59" s="35"/>
      <c r="L59" s="35"/>
      <c r="M59" s="35"/>
      <c r="N59" s="35"/>
      <c r="O59" s="35">
        <f>SUM(tblHealth[[#This Row],[JAN]:[DEC]])</f>
        <v>165</v>
      </c>
      <c r="P59" s="13"/>
    </row>
    <row r="60" spans="1:17" s="22" customFormat="1" ht="22.25" customHeight="1" x14ac:dyDescent="0.2">
      <c r="A60" s="18"/>
      <c r="B60" s="12" t="s">
        <v>48</v>
      </c>
      <c r="C60" s="35">
        <f>SUBTOTAL(109,tblHealth[JAN])</f>
        <v>460</v>
      </c>
      <c r="D60" s="35">
        <f>SUBTOTAL(109,tblHealth[FEB])</f>
        <v>432</v>
      </c>
      <c r="E60" s="35">
        <f>SUBTOTAL(109,tblHealth[MAR])</f>
        <v>505</v>
      </c>
      <c r="F60" s="35">
        <f>SUBTOTAL(109,tblHealth[APR])</f>
        <v>0</v>
      </c>
      <c r="G60" s="35">
        <f>SUBTOTAL(109,tblHealth[MAY])</f>
        <v>0</v>
      </c>
      <c r="H60" s="35">
        <f>SUBTOTAL(109,tblHealth[JUN])</f>
        <v>0</v>
      </c>
      <c r="I60" s="35">
        <f>SUBTOTAL(109,tblHealth[JUL])</f>
        <v>0</v>
      </c>
      <c r="J60" s="35">
        <f>SUBTOTAL(109,tblHealth[AUG])</f>
        <v>0</v>
      </c>
      <c r="K60" s="35">
        <f>SUBTOTAL(109,tblHealth[SEP])</f>
        <v>0</v>
      </c>
      <c r="L60" s="35">
        <f>SUBTOTAL(109,tblHealth[OCT])</f>
        <v>0</v>
      </c>
      <c r="M60" s="35">
        <f>SUBTOTAL(109,tblHealth[NOV])</f>
        <v>0</v>
      </c>
      <c r="N60" s="35">
        <f>SUBTOTAL(109,tblHealth[DEC])</f>
        <v>0</v>
      </c>
      <c r="O60" s="35">
        <f>SUBTOTAL(109,tblHealth[YEAR])</f>
        <v>1397</v>
      </c>
      <c r="P60" s="14"/>
      <c r="Q60" s="20"/>
    </row>
    <row r="61" spans="1:17" s="5" customFormat="1" ht="22" customHeight="1" x14ac:dyDescent="0.15">
      <c r="A61" s="11"/>
      <c r="B61" s="3"/>
      <c r="C61" s="4"/>
      <c r="D61" s="4"/>
      <c r="E61" s="4"/>
      <c r="F61" s="4"/>
      <c r="G61" s="4"/>
      <c r="H61" s="4"/>
      <c r="I61" s="4"/>
      <c r="J61" s="4"/>
      <c r="K61" s="4"/>
      <c r="L61" s="4"/>
      <c r="M61" s="4"/>
      <c r="N61" s="4"/>
      <c r="O61" s="4"/>
      <c r="P61" s="3"/>
      <c r="Q61" s="3"/>
    </row>
    <row r="62" spans="1:17" s="5" customFormat="1" ht="30" customHeight="1" x14ac:dyDescent="0.15">
      <c r="A62" s="11"/>
      <c r="B62" s="19" t="s">
        <v>54</v>
      </c>
      <c r="C62" s="33" t="s">
        <v>60</v>
      </c>
      <c r="D62" s="33" t="s">
        <v>61</v>
      </c>
      <c r="E62" s="33" t="s">
        <v>63</v>
      </c>
      <c r="F62" s="33" t="s">
        <v>64</v>
      </c>
      <c r="G62" s="33" t="s">
        <v>62</v>
      </c>
      <c r="H62" s="33" t="s">
        <v>65</v>
      </c>
      <c r="I62" s="33" t="s">
        <v>66</v>
      </c>
      <c r="J62" s="33" t="s">
        <v>67</v>
      </c>
      <c r="K62" s="33" t="s">
        <v>68</v>
      </c>
      <c r="L62" s="33" t="s">
        <v>69</v>
      </c>
      <c r="M62" s="33" t="s">
        <v>70</v>
      </c>
      <c r="N62" s="33" t="s">
        <v>71</v>
      </c>
      <c r="O62" s="33" t="s">
        <v>72</v>
      </c>
      <c r="P62" s="34" t="s">
        <v>75</v>
      </c>
      <c r="Q62" s="3"/>
    </row>
    <row r="63" spans="1:17" s="5" customFormat="1" ht="22.25" customHeight="1" x14ac:dyDescent="0.15">
      <c r="A63" s="11"/>
      <c r="B63" s="12" t="s">
        <v>21</v>
      </c>
      <c r="C63" s="35"/>
      <c r="D63" s="35">
        <v>485</v>
      </c>
      <c r="E63" s="35"/>
      <c r="F63" s="35"/>
      <c r="G63" s="35"/>
      <c r="H63" s="35"/>
      <c r="I63" s="35"/>
      <c r="J63" s="35"/>
      <c r="K63" s="35"/>
      <c r="L63" s="35"/>
      <c r="M63" s="35"/>
      <c r="N63" s="35"/>
      <c r="O63" s="35">
        <f>SUM(tblVacations[[#This Row],[JAN]:[DEC]])</f>
        <v>485</v>
      </c>
      <c r="P63" s="13"/>
      <c r="Q63" s="3"/>
    </row>
    <row r="64" spans="1:17" s="5" customFormat="1" ht="22.25" customHeight="1" x14ac:dyDescent="0.15">
      <c r="A64" s="11"/>
      <c r="B64" s="12" t="s">
        <v>22</v>
      </c>
      <c r="C64" s="35"/>
      <c r="D64" s="35">
        <v>245</v>
      </c>
      <c r="E64" s="35"/>
      <c r="F64" s="35"/>
      <c r="G64" s="35"/>
      <c r="H64" s="35"/>
      <c r="I64" s="35"/>
      <c r="J64" s="35"/>
      <c r="K64" s="35"/>
      <c r="L64" s="35"/>
      <c r="M64" s="35"/>
      <c r="N64" s="35"/>
      <c r="O64" s="35">
        <f>SUM(tblVacations[[#This Row],[JAN]:[DEC]])</f>
        <v>245</v>
      </c>
      <c r="P64" s="13"/>
      <c r="Q64" s="3"/>
    </row>
    <row r="65" spans="1:17" s="5" customFormat="1" ht="22.25" customHeight="1" x14ac:dyDescent="0.15">
      <c r="A65" s="11"/>
      <c r="B65" s="12" t="s">
        <v>23</v>
      </c>
      <c r="C65" s="35"/>
      <c r="D65" s="35">
        <v>95</v>
      </c>
      <c r="E65" s="35"/>
      <c r="F65" s="35"/>
      <c r="G65" s="35"/>
      <c r="H65" s="35"/>
      <c r="I65" s="35"/>
      <c r="J65" s="35"/>
      <c r="K65" s="35"/>
      <c r="L65" s="35"/>
      <c r="M65" s="35"/>
      <c r="N65" s="35"/>
      <c r="O65" s="35">
        <f>SUM(tblVacations[[#This Row],[JAN]:[DEC]])</f>
        <v>95</v>
      </c>
      <c r="P65" s="13"/>
      <c r="Q65" s="3"/>
    </row>
    <row r="66" spans="1:17" s="5" customFormat="1" ht="22.25" customHeight="1" x14ac:dyDescent="0.15">
      <c r="A66" s="11"/>
      <c r="B66" s="12" t="s">
        <v>24</v>
      </c>
      <c r="C66" s="35"/>
      <c r="D66" s="35"/>
      <c r="E66" s="35"/>
      <c r="F66" s="35"/>
      <c r="G66" s="35"/>
      <c r="H66" s="35"/>
      <c r="I66" s="35"/>
      <c r="J66" s="35"/>
      <c r="K66" s="35"/>
      <c r="L66" s="35"/>
      <c r="M66" s="35"/>
      <c r="N66" s="35"/>
      <c r="O66" s="35">
        <f>SUM(tblVacations[[#This Row],[JAN]:[DEC]])</f>
        <v>0</v>
      </c>
      <c r="P66" s="13"/>
      <c r="Q66" s="3"/>
    </row>
    <row r="67" spans="1:17" s="5" customFormat="1" ht="22.25" customHeight="1" x14ac:dyDescent="0.15">
      <c r="A67" s="11"/>
      <c r="B67" s="12" t="s">
        <v>25</v>
      </c>
      <c r="C67" s="35"/>
      <c r="D67" s="35"/>
      <c r="E67" s="35"/>
      <c r="F67" s="35"/>
      <c r="G67" s="35"/>
      <c r="H67" s="35"/>
      <c r="I67" s="35"/>
      <c r="J67" s="35"/>
      <c r="K67" s="35"/>
      <c r="L67" s="35"/>
      <c r="M67" s="35"/>
      <c r="N67" s="35"/>
      <c r="O67" s="35">
        <f>SUM(tblVacations[[#This Row],[JAN]:[DEC]])</f>
        <v>0</v>
      </c>
      <c r="P67" s="13"/>
      <c r="Q67" s="3"/>
    </row>
    <row r="68" spans="1:17" ht="22.25" customHeight="1" x14ac:dyDescent="0.15">
      <c r="B68" s="12" t="s">
        <v>26</v>
      </c>
      <c r="C68" s="35"/>
      <c r="D68" s="35">
        <v>85</v>
      </c>
      <c r="E68" s="35"/>
      <c r="F68" s="35"/>
      <c r="G68" s="35"/>
      <c r="H68" s="35"/>
      <c r="I68" s="35"/>
      <c r="J68" s="35"/>
      <c r="K68" s="35"/>
      <c r="L68" s="35"/>
      <c r="M68" s="35"/>
      <c r="N68" s="35"/>
      <c r="O68" s="35">
        <f>SUM(tblVacations[[#This Row],[JAN]:[DEC]])</f>
        <v>85</v>
      </c>
      <c r="P68" s="13"/>
    </row>
    <row r="69" spans="1:17" s="22" customFormat="1" ht="22.25" customHeight="1" x14ac:dyDescent="0.2">
      <c r="A69" s="18"/>
      <c r="B69" s="12" t="s">
        <v>48</v>
      </c>
      <c r="C69" s="35">
        <f>SUBTOTAL(109,tblVacations[JAN])</f>
        <v>0</v>
      </c>
      <c r="D69" s="35">
        <f>SUBTOTAL(109,tblVacations[FEB])</f>
        <v>910</v>
      </c>
      <c r="E69" s="35">
        <f>SUBTOTAL(109,tblVacations[MAR])</f>
        <v>0</v>
      </c>
      <c r="F69" s="35">
        <f>SUBTOTAL(109,tblVacations[APR])</f>
        <v>0</v>
      </c>
      <c r="G69" s="35">
        <f>SUBTOTAL(109,tblVacations[MAY])</f>
        <v>0</v>
      </c>
      <c r="H69" s="35">
        <f>SUBTOTAL(109,tblVacations[JUN])</f>
        <v>0</v>
      </c>
      <c r="I69" s="35">
        <f>SUBTOTAL(109,tblVacations[JUL])</f>
        <v>0</v>
      </c>
      <c r="J69" s="35">
        <f>SUBTOTAL(109,tblVacations[AUG])</f>
        <v>0</v>
      </c>
      <c r="K69" s="35">
        <f>SUBTOTAL(109,tblVacations[SEP])</f>
        <v>0</v>
      </c>
      <c r="L69" s="35">
        <f>SUBTOTAL(109,tblVacations[OCT])</f>
        <v>0</v>
      </c>
      <c r="M69" s="35">
        <f>SUBTOTAL(109,tblVacations[NOV])</f>
        <v>0</v>
      </c>
      <c r="N69" s="35">
        <f>SUBTOTAL(109,tblVacations[DEC])</f>
        <v>0</v>
      </c>
      <c r="O69" s="35">
        <f>SUBTOTAL(109,tblVacations[YEAR])</f>
        <v>910</v>
      </c>
      <c r="P69" s="14"/>
      <c r="Q69" s="20"/>
    </row>
    <row r="70" spans="1:17" s="5" customFormat="1" ht="22" customHeight="1" x14ac:dyDescent="0.15">
      <c r="A70" s="11"/>
      <c r="B70" s="3"/>
      <c r="C70" s="4"/>
      <c r="D70" s="4"/>
      <c r="E70" s="4"/>
      <c r="F70" s="4"/>
      <c r="G70" s="4"/>
      <c r="H70" s="4"/>
      <c r="I70" s="4"/>
      <c r="J70" s="4"/>
      <c r="K70" s="4"/>
      <c r="L70" s="4"/>
      <c r="M70" s="4"/>
      <c r="N70" s="4"/>
      <c r="O70" s="4"/>
      <c r="P70" s="3"/>
      <c r="Q70" s="3"/>
    </row>
    <row r="71" spans="1:17" s="5" customFormat="1" ht="30" customHeight="1" x14ac:dyDescent="0.15">
      <c r="A71" s="11"/>
      <c r="B71" s="19" t="s">
        <v>55</v>
      </c>
      <c r="C71" s="33" t="s">
        <v>60</v>
      </c>
      <c r="D71" s="33" t="s">
        <v>61</v>
      </c>
      <c r="E71" s="33" t="s">
        <v>63</v>
      </c>
      <c r="F71" s="33" t="s">
        <v>64</v>
      </c>
      <c r="G71" s="33" t="s">
        <v>62</v>
      </c>
      <c r="H71" s="33" t="s">
        <v>65</v>
      </c>
      <c r="I71" s="33" t="s">
        <v>66</v>
      </c>
      <c r="J71" s="33" t="s">
        <v>67</v>
      </c>
      <c r="K71" s="33" t="s">
        <v>68</v>
      </c>
      <c r="L71" s="33" t="s">
        <v>69</v>
      </c>
      <c r="M71" s="33" t="s">
        <v>70</v>
      </c>
      <c r="N71" s="33" t="s">
        <v>71</v>
      </c>
      <c r="O71" s="33" t="s">
        <v>72</v>
      </c>
      <c r="P71" s="34" t="s">
        <v>75</v>
      </c>
      <c r="Q71" s="3"/>
    </row>
    <row r="72" spans="1:17" s="5" customFormat="1" ht="22.25" customHeight="1" x14ac:dyDescent="0.15">
      <c r="A72" s="11"/>
      <c r="B72" s="12" t="s">
        <v>27</v>
      </c>
      <c r="C72" s="35"/>
      <c r="D72" s="35"/>
      <c r="E72" s="35"/>
      <c r="F72" s="35"/>
      <c r="G72" s="35"/>
      <c r="H72" s="35"/>
      <c r="I72" s="35"/>
      <c r="J72" s="35"/>
      <c r="K72" s="35"/>
      <c r="L72" s="35"/>
      <c r="M72" s="35"/>
      <c r="N72" s="35"/>
      <c r="O72" s="35">
        <f>SUM(tblRecreation[[#This Row],[JAN]:[DEC]])</f>
        <v>0</v>
      </c>
      <c r="P72" s="13"/>
      <c r="Q72" s="3"/>
    </row>
    <row r="73" spans="1:17" s="5" customFormat="1" ht="22.25" customHeight="1" x14ac:dyDescent="0.15">
      <c r="A73" s="11"/>
      <c r="B73" s="12" t="s">
        <v>28</v>
      </c>
      <c r="C73" s="35"/>
      <c r="D73" s="35"/>
      <c r="E73" s="35"/>
      <c r="F73" s="35"/>
      <c r="G73" s="35"/>
      <c r="H73" s="35"/>
      <c r="I73" s="35"/>
      <c r="J73" s="35"/>
      <c r="K73" s="35"/>
      <c r="L73" s="35"/>
      <c r="M73" s="35"/>
      <c r="N73" s="35"/>
      <c r="O73" s="35">
        <f>SUM(tblRecreation[[#This Row],[JAN]:[DEC]])</f>
        <v>0</v>
      </c>
      <c r="P73" s="13"/>
      <c r="Q73" s="3"/>
    </row>
    <row r="74" spans="1:17" s="5" customFormat="1" ht="22.25" customHeight="1" x14ac:dyDescent="0.15">
      <c r="A74" s="11"/>
      <c r="B74" s="12" t="s">
        <v>29</v>
      </c>
      <c r="C74" s="35"/>
      <c r="D74" s="35"/>
      <c r="E74" s="35"/>
      <c r="F74" s="35"/>
      <c r="G74" s="35"/>
      <c r="H74" s="35"/>
      <c r="I74" s="35"/>
      <c r="J74" s="35"/>
      <c r="K74" s="35"/>
      <c r="L74" s="35"/>
      <c r="M74" s="35"/>
      <c r="N74" s="35"/>
      <c r="O74" s="35">
        <f>SUM(tblRecreation[[#This Row],[JAN]:[DEC]])</f>
        <v>0</v>
      </c>
      <c r="P74" s="13"/>
      <c r="Q74" s="3"/>
    </row>
    <row r="75" spans="1:17" ht="22.25" customHeight="1" x14ac:dyDescent="0.15">
      <c r="B75" s="12" t="s">
        <v>30</v>
      </c>
      <c r="C75" s="35">
        <v>39</v>
      </c>
      <c r="D75" s="35">
        <v>33</v>
      </c>
      <c r="E75" s="35">
        <v>40</v>
      </c>
      <c r="F75" s="35"/>
      <c r="G75" s="35"/>
      <c r="H75" s="35"/>
      <c r="I75" s="35"/>
      <c r="J75" s="35"/>
      <c r="K75" s="35"/>
      <c r="L75" s="35"/>
      <c r="M75" s="35"/>
      <c r="N75" s="35"/>
      <c r="O75" s="35">
        <f>SUM(tblRecreation[[#This Row],[JAN]:[DEC]])</f>
        <v>112</v>
      </c>
      <c r="P75" s="13"/>
    </row>
    <row r="76" spans="1:17" s="22" customFormat="1" ht="22.25" customHeight="1" x14ac:dyDescent="0.2">
      <c r="A76" s="18"/>
      <c r="B76" s="12" t="s">
        <v>48</v>
      </c>
      <c r="C76" s="35">
        <f>SUBTOTAL(109,tblRecreation[JAN])</f>
        <v>39</v>
      </c>
      <c r="D76" s="35">
        <f>SUBTOTAL(109,tblRecreation[FEB])</f>
        <v>33</v>
      </c>
      <c r="E76" s="35">
        <f>SUBTOTAL(109,tblRecreation[MAR])</f>
        <v>40</v>
      </c>
      <c r="F76" s="35">
        <f>SUBTOTAL(109,tblRecreation[APR])</f>
        <v>0</v>
      </c>
      <c r="G76" s="35">
        <f>SUBTOTAL(109,tblRecreation[MAY])</f>
        <v>0</v>
      </c>
      <c r="H76" s="35">
        <f>SUBTOTAL(109,tblRecreation[JUN])</f>
        <v>0</v>
      </c>
      <c r="I76" s="35">
        <f>SUBTOTAL(109,tblRecreation[JUL])</f>
        <v>0</v>
      </c>
      <c r="J76" s="35">
        <f>SUBTOTAL(109,tblRecreation[AUG])</f>
        <v>0</v>
      </c>
      <c r="K76" s="35">
        <f>SUBTOTAL(109,tblRecreation[SEP])</f>
        <v>0</v>
      </c>
      <c r="L76" s="35">
        <f>SUBTOTAL(109,tblRecreation[OCT])</f>
        <v>0</v>
      </c>
      <c r="M76" s="35">
        <f>SUBTOTAL(109,tblRecreation[NOV])</f>
        <v>0</v>
      </c>
      <c r="N76" s="35">
        <f>SUBTOTAL(109,tblRecreation[DEC])</f>
        <v>0</v>
      </c>
      <c r="O76" s="35">
        <f>SUBTOTAL(109,tblRecreation[YEAR])</f>
        <v>112</v>
      </c>
      <c r="P76" s="14"/>
      <c r="Q76" s="20"/>
    </row>
    <row r="77" spans="1:17" s="5" customFormat="1" ht="22" customHeight="1" x14ac:dyDescent="0.15">
      <c r="A77" s="11"/>
      <c r="B77" s="3"/>
      <c r="C77" s="4"/>
      <c r="D77" s="4"/>
      <c r="E77" s="4"/>
      <c r="F77" s="4"/>
      <c r="G77" s="4"/>
      <c r="H77" s="4"/>
      <c r="I77" s="4"/>
      <c r="J77" s="4"/>
      <c r="K77" s="4"/>
      <c r="L77" s="4"/>
      <c r="M77" s="4"/>
      <c r="N77" s="4"/>
      <c r="O77" s="4"/>
      <c r="P77" s="3"/>
      <c r="Q77" s="3"/>
    </row>
    <row r="78" spans="1:17" s="5" customFormat="1" ht="30" customHeight="1" x14ac:dyDescent="0.15">
      <c r="A78" s="11"/>
      <c r="B78" s="19" t="s">
        <v>93</v>
      </c>
      <c r="C78" s="33" t="s">
        <v>60</v>
      </c>
      <c r="D78" s="33" t="s">
        <v>61</v>
      </c>
      <c r="E78" s="33" t="s">
        <v>63</v>
      </c>
      <c r="F78" s="33" t="s">
        <v>64</v>
      </c>
      <c r="G78" s="33" t="s">
        <v>62</v>
      </c>
      <c r="H78" s="33" t="s">
        <v>65</v>
      </c>
      <c r="I78" s="33" t="s">
        <v>66</v>
      </c>
      <c r="J78" s="33" t="s">
        <v>67</v>
      </c>
      <c r="K78" s="33" t="s">
        <v>68</v>
      </c>
      <c r="L78" s="33" t="s">
        <v>69</v>
      </c>
      <c r="M78" s="33" t="s">
        <v>70</v>
      </c>
      <c r="N78" s="33" t="s">
        <v>71</v>
      </c>
      <c r="O78" s="33" t="s">
        <v>72</v>
      </c>
      <c r="P78" s="34" t="s">
        <v>75</v>
      </c>
      <c r="Q78" s="3"/>
    </row>
    <row r="79" spans="1:17" s="5" customFormat="1" ht="22.25" customHeight="1" x14ac:dyDescent="0.15">
      <c r="A79" s="11"/>
      <c r="B79" s="12" t="s">
        <v>31</v>
      </c>
      <c r="C79" s="35"/>
      <c r="D79" s="35"/>
      <c r="E79" s="35"/>
      <c r="F79" s="35"/>
      <c r="G79" s="35"/>
      <c r="H79" s="35"/>
      <c r="I79" s="35"/>
      <c r="J79" s="35"/>
      <c r="K79" s="35"/>
      <c r="L79" s="35"/>
      <c r="M79" s="35"/>
      <c r="N79" s="35"/>
      <c r="O79" s="35">
        <f>SUM(tblDues[[#This Row],[JAN]:[DEC]])</f>
        <v>0</v>
      </c>
      <c r="P79" s="13"/>
      <c r="Q79" s="3"/>
    </row>
    <row r="80" spans="1:17" s="5" customFormat="1" ht="22.25" customHeight="1" x14ac:dyDescent="0.15">
      <c r="A80" s="11"/>
      <c r="B80" s="12" t="s">
        <v>32</v>
      </c>
      <c r="C80" s="35"/>
      <c r="D80" s="35"/>
      <c r="E80" s="35"/>
      <c r="F80" s="35"/>
      <c r="G80" s="35"/>
      <c r="H80" s="35"/>
      <c r="I80" s="35"/>
      <c r="J80" s="35"/>
      <c r="K80" s="35"/>
      <c r="L80" s="35"/>
      <c r="M80" s="35"/>
      <c r="N80" s="35"/>
      <c r="O80" s="35">
        <f>SUM(tblDues[[#This Row],[JAN]:[DEC]])</f>
        <v>0</v>
      </c>
      <c r="P80" s="13"/>
      <c r="Q80" s="3"/>
    </row>
    <row r="81" spans="1:17" s="5" customFormat="1" ht="22.25" customHeight="1" x14ac:dyDescent="0.15">
      <c r="A81" s="11"/>
      <c r="B81" s="12" t="s">
        <v>33</v>
      </c>
      <c r="C81" s="35"/>
      <c r="D81" s="35"/>
      <c r="E81" s="35"/>
      <c r="F81" s="35"/>
      <c r="G81" s="35"/>
      <c r="H81" s="35"/>
      <c r="I81" s="35"/>
      <c r="J81" s="35"/>
      <c r="K81" s="35"/>
      <c r="L81" s="35"/>
      <c r="M81" s="35"/>
      <c r="N81" s="35"/>
      <c r="O81" s="35">
        <f>SUM(tblDues[[#This Row],[JAN]:[DEC]])</f>
        <v>0</v>
      </c>
      <c r="P81" s="13"/>
      <c r="Q81" s="3"/>
    </row>
    <row r="82" spans="1:17" s="5" customFormat="1" ht="22.25" customHeight="1" x14ac:dyDescent="0.15">
      <c r="A82" s="11"/>
      <c r="B82" s="12" t="s">
        <v>34</v>
      </c>
      <c r="C82" s="35"/>
      <c r="D82" s="35"/>
      <c r="E82" s="35"/>
      <c r="F82" s="35"/>
      <c r="G82" s="35"/>
      <c r="H82" s="35"/>
      <c r="I82" s="35"/>
      <c r="J82" s="35"/>
      <c r="K82" s="35"/>
      <c r="L82" s="35"/>
      <c r="M82" s="35"/>
      <c r="N82" s="35"/>
      <c r="O82" s="35">
        <f>SUM(tblDues[[#This Row],[JAN]:[DEC]])</f>
        <v>0</v>
      </c>
      <c r="P82" s="13"/>
      <c r="Q82" s="3"/>
    </row>
    <row r="83" spans="1:17" ht="22.25" customHeight="1" x14ac:dyDescent="0.15">
      <c r="B83" s="12" t="s">
        <v>35</v>
      </c>
      <c r="C83" s="35"/>
      <c r="D83" s="35"/>
      <c r="E83" s="35"/>
      <c r="F83" s="35"/>
      <c r="G83" s="35"/>
      <c r="H83" s="35"/>
      <c r="I83" s="35"/>
      <c r="J83" s="35"/>
      <c r="K83" s="35"/>
      <c r="L83" s="35"/>
      <c r="M83" s="35"/>
      <c r="N83" s="35"/>
      <c r="O83" s="35">
        <f>SUM(tblDues[[#This Row],[JAN]:[DEC]])</f>
        <v>0</v>
      </c>
      <c r="P83" s="13"/>
    </row>
    <row r="84" spans="1:17" s="22" customFormat="1" ht="22.25" customHeight="1" x14ac:dyDescent="0.2">
      <c r="A84" s="18"/>
      <c r="B84" s="12" t="s">
        <v>48</v>
      </c>
      <c r="C84" s="35">
        <f>SUBTOTAL(109,tblDues[JAN])</f>
        <v>0</v>
      </c>
      <c r="D84" s="35">
        <f>SUBTOTAL(109,tblDues[FEB])</f>
        <v>0</v>
      </c>
      <c r="E84" s="35">
        <f>SUBTOTAL(109,tblDues[MAR])</f>
        <v>0</v>
      </c>
      <c r="F84" s="35">
        <f>SUBTOTAL(109,tblDues[APR])</f>
        <v>0</v>
      </c>
      <c r="G84" s="35">
        <f>SUBTOTAL(109,tblDues[MAY])</f>
        <v>0</v>
      </c>
      <c r="H84" s="35">
        <f>SUBTOTAL(109,tblDues[JUN])</f>
        <v>0</v>
      </c>
      <c r="I84" s="35">
        <f>SUBTOTAL(109,tblDues[JUL])</f>
        <v>0</v>
      </c>
      <c r="J84" s="35">
        <f>SUBTOTAL(109,tblDues[AUG])</f>
        <v>0</v>
      </c>
      <c r="K84" s="35">
        <f>SUBTOTAL(109,tblDues[SEP])</f>
        <v>0</v>
      </c>
      <c r="L84" s="35">
        <f>SUBTOTAL(109,tblDues[OCT])</f>
        <v>0</v>
      </c>
      <c r="M84" s="35">
        <f>SUBTOTAL(109,tblDues[NOV])</f>
        <v>0</v>
      </c>
      <c r="N84" s="35">
        <f>SUBTOTAL(109,tblDues[DEC])</f>
        <v>0</v>
      </c>
      <c r="O84" s="35">
        <f>SUBTOTAL(109,tblDues[YEAR])</f>
        <v>0</v>
      </c>
      <c r="P84" s="14"/>
      <c r="Q84" s="20"/>
    </row>
    <row r="85" spans="1:17" s="5" customFormat="1" ht="22" customHeight="1" x14ac:dyDescent="0.15">
      <c r="A85" s="11"/>
      <c r="B85" s="3"/>
      <c r="C85" s="4"/>
      <c r="D85" s="4"/>
      <c r="E85" s="4"/>
      <c r="F85" s="4"/>
      <c r="G85" s="4"/>
      <c r="H85" s="4"/>
      <c r="I85" s="4"/>
      <c r="J85" s="4"/>
      <c r="K85" s="4"/>
      <c r="L85" s="4"/>
      <c r="M85" s="4"/>
      <c r="N85" s="4"/>
      <c r="O85" s="4"/>
      <c r="P85" s="3"/>
      <c r="Q85" s="3"/>
    </row>
    <row r="86" spans="1:17" s="5" customFormat="1" ht="30" customHeight="1" x14ac:dyDescent="0.15">
      <c r="A86" s="11"/>
      <c r="B86" s="19" t="s">
        <v>56</v>
      </c>
      <c r="C86" s="33" t="s">
        <v>60</v>
      </c>
      <c r="D86" s="33" t="s">
        <v>61</v>
      </c>
      <c r="E86" s="33" t="s">
        <v>63</v>
      </c>
      <c r="F86" s="33" t="s">
        <v>64</v>
      </c>
      <c r="G86" s="33" t="s">
        <v>62</v>
      </c>
      <c r="H86" s="33" t="s">
        <v>65</v>
      </c>
      <c r="I86" s="33" t="s">
        <v>66</v>
      </c>
      <c r="J86" s="33" t="s">
        <v>67</v>
      </c>
      <c r="K86" s="33" t="s">
        <v>68</v>
      </c>
      <c r="L86" s="33" t="s">
        <v>69</v>
      </c>
      <c r="M86" s="33" t="s">
        <v>70</v>
      </c>
      <c r="N86" s="33" t="s">
        <v>71</v>
      </c>
      <c r="O86" s="33" t="s">
        <v>72</v>
      </c>
      <c r="P86" s="34" t="s">
        <v>75</v>
      </c>
      <c r="Q86" s="3"/>
    </row>
    <row r="87" spans="1:17" s="5" customFormat="1" ht="22.25" customHeight="1" x14ac:dyDescent="0.15">
      <c r="A87" s="11"/>
      <c r="B87" s="12" t="s">
        <v>36</v>
      </c>
      <c r="C87" s="35"/>
      <c r="D87" s="35"/>
      <c r="E87" s="35">
        <v>29</v>
      </c>
      <c r="F87" s="35"/>
      <c r="G87" s="35"/>
      <c r="H87" s="35"/>
      <c r="I87" s="35"/>
      <c r="J87" s="35"/>
      <c r="K87" s="35"/>
      <c r="L87" s="35"/>
      <c r="M87" s="35"/>
      <c r="N87" s="35"/>
      <c r="O87" s="35">
        <f>SUM(tblPersonal[[#This Row],[JAN]:[DEC]])</f>
        <v>29</v>
      </c>
      <c r="P87" s="13"/>
      <c r="Q87" s="3"/>
    </row>
    <row r="88" spans="1:17" s="5" customFormat="1" ht="22.25" customHeight="1" x14ac:dyDescent="0.15">
      <c r="A88" s="11"/>
      <c r="B88" s="12" t="s">
        <v>37</v>
      </c>
      <c r="C88" s="35"/>
      <c r="D88" s="35">
        <v>35</v>
      </c>
      <c r="E88" s="35"/>
      <c r="F88" s="35"/>
      <c r="G88" s="35"/>
      <c r="H88" s="35"/>
      <c r="I88" s="35"/>
      <c r="J88" s="35"/>
      <c r="K88" s="35"/>
      <c r="L88" s="35"/>
      <c r="M88" s="35"/>
      <c r="N88" s="35"/>
      <c r="O88" s="35">
        <f>SUM(tblPersonal[[#This Row],[JAN]:[DEC]])</f>
        <v>35</v>
      </c>
      <c r="P88" s="13"/>
      <c r="Q88" s="3"/>
    </row>
    <row r="89" spans="1:17" s="5" customFormat="1" ht="22.25" customHeight="1" x14ac:dyDescent="0.15">
      <c r="A89" s="11"/>
      <c r="B89" s="12" t="s">
        <v>38</v>
      </c>
      <c r="C89" s="35">
        <v>25</v>
      </c>
      <c r="D89" s="35">
        <v>25</v>
      </c>
      <c r="E89" s="35">
        <v>25</v>
      </c>
      <c r="F89" s="35"/>
      <c r="G89" s="35"/>
      <c r="H89" s="35"/>
      <c r="I89" s="35"/>
      <c r="J89" s="35"/>
      <c r="K89" s="35"/>
      <c r="L89" s="35"/>
      <c r="M89" s="35"/>
      <c r="N89" s="35"/>
      <c r="O89" s="35">
        <f>SUM(tblPersonal[[#This Row],[JAN]:[DEC]])</f>
        <v>75</v>
      </c>
      <c r="P89" s="13"/>
      <c r="Q89" s="3"/>
    </row>
    <row r="90" spans="1:17" s="5" customFormat="1" ht="22.25" customHeight="1" x14ac:dyDescent="0.15">
      <c r="A90" s="11"/>
      <c r="B90" s="12" t="s">
        <v>39</v>
      </c>
      <c r="C90" s="35"/>
      <c r="D90" s="35"/>
      <c r="E90" s="35"/>
      <c r="F90" s="35"/>
      <c r="G90" s="35"/>
      <c r="H90" s="35"/>
      <c r="I90" s="35"/>
      <c r="J90" s="35"/>
      <c r="K90" s="35"/>
      <c r="L90" s="35"/>
      <c r="M90" s="35"/>
      <c r="N90" s="35"/>
      <c r="O90" s="35">
        <f>SUM(tblPersonal[[#This Row],[JAN]:[DEC]])</f>
        <v>0</v>
      </c>
      <c r="P90" s="13"/>
      <c r="Q90" s="3"/>
    </row>
    <row r="91" spans="1:17" ht="22.25" customHeight="1" x14ac:dyDescent="0.15">
      <c r="B91" s="12" t="s">
        <v>40</v>
      </c>
      <c r="C91" s="35"/>
      <c r="D91" s="35"/>
      <c r="E91" s="35"/>
      <c r="F91" s="35"/>
      <c r="G91" s="35"/>
      <c r="H91" s="35"/>
      <c r="I91" s="35"/>
      <c r="J91" s="35"/>
      <c r="K91" s="35"/>
      <c r="L91" s="35"/>
      <c r="M91" s="35"/>
      <c r="N91" s="35"/>
      <c r="O91" s="35">
        <f>SUM(tblPersonal[[#This Row],[JAN]:[DEC]])</f>
        <v>0</v>
      </c>
      <c r="P91" s="13"/>
    </row>
    <row r="92" spans="1:17" s="22" customFormat="1" ht="22.25" customHeight="1" x14ac:dyDescent="0.2">
      <c r="A92" s="18"/>
      <c r="B92" s="12" t="s">
        <v>48</v>
      </c>
      <c r="C92" s="35">
        <f>SUBTOTAL(109,tblPersonal[JAN])</f>
        <v>25</v>
      </c>
      <c r="D92" s="35">
        <f>SUBTOTAL(109,tblPersonal[FEB])</f>
        <v>60</v>
      </c>
      <c r="E92" s="35">
        <f>SUBTOTAL(109,tblPersonal[MAR])</f>
        <v>54</v>
      </c>
      <c r="F92" s="35">
        <f>SUBTOTAL(109,tblPersonal[APR])</f>
        <v>0</v>
      </c>
      <c r="G92" s="35">
        <f>SUBTOTAL(109,tblPersonal[MAY])</f>
        <v>0</v>
      </c>
      <c r="H92" s="35">
        <f>SUBTOTAL(109,tblPersonal[JUN])</f>
        <v>0</v>
      </c>
      <c r="I92" s="35">
        <f>SUBTOTAL(109,tblPersonal[JUL])</f>
        <v>0</v>
      </c>
      <c r="J92" s="35">
        <f>SUBTOTAL(109,tblPersonal[AUG])</f>
        <v>0</v>
      </c>
      <c r="K92" s="35">
        <f>SUBTOTAL(109,tblPersonal[SEP])</f>
        <v>0</v>
      </c>
      <c r="L92" s="35">
        <f>SUBTOTAL(109,tblPersonal[OCT])</f>
        <v>0</v>
      </c>
      <c r="M92" s="35">
        <f>SUBTOTAL(109,tblPersonal[NOV])</f>
        <v>0</v>
      </c>
      <c r="N92" s="35">
        <f>SUBTOTAL(109,tblPersonal[DEC])</f>
        <v>0</v>
      </c>
      <c r="O92" s="35">
        <f>SUBTOTAL(109,tblPersonal[YEAR])</f>
        <v>139</v>
      </c>
      <c r="P92" s="14"/>
      <c r="Q92" s="20"/>
    </row>
    <row r="93" spans="1:17" s="5" customFormat="1" ht="22" customHeight="1" x14ac:dyDescent="0.15">
      <c r="A93" s="11"/>
      <c r="B93" s="3"/>
      <c r="C93" s="4"/>
      <c r="D93" s="4"/>
      <c r="E93" s="4"/>
      <c r="F93" s="4"/>
      <c r="G93" s="4"/>
      <c r="H93" s="4"/>
      <c r="I93" s="4"/>
      <c r="J93" s="4"/>
      <c r="K93" s="4"/>
      <c r="L93" s="4"/>
      <c r="M93" s="4"/>
      <c r="N93" s="4"/>
      <c r="O93" s="4"/>
      <c r="P93" s="3"/>
      <c r="Q93" s="3"/>
    </row>
    <row r="94" spans="1:17" s="5" customFormat="1" ht="30" customHeight="1" x14ac:dyDescent="0.15">
      <c r="A94" s="11"/>
      <c r="B94" s="19" t="s">
        <v>57</v>
      </c>
      <c r="C94" s="33" t="s">
        <v>60</v>
      </c>
      <c r="D94" s="33" t="s">
        <v>61</v>
      </c>
      <c r="E94" s="33" t="s">
        <v>63</v>
      </c>
      <c r="F94" s="33" t="s">
        <v>64</v>
      </c>
      <c r="G94" s="33" t="s">
        <v>62</v>
      </c>
      <c r="H94" s="33" t="s">
        <v>65</v>
      </c>
      <c r="I94" s="33" t="s">
        <v>66</v>
      </c>
      <c r="J94" s="33" t="s">
        <v>67</v>
      </c>
      <c r="K94" s="33" t="s">
        <v>68</v>
      </c>
      <c r="L94" s="33" t="s">
        <v>69</v>
      </c>
      <c r="M94" s="33" t="s">
        <v>70</v>
      </c>
      <c r="N94" s="33" t="s">
        <v>71</v>
      </c>
      <c r="O94" s="33" t="s">
        <v>72</v>
      </c>
      <c r="P94" s="34" t="s">
        <v>75</v>
      </c>
      <c r="Q94" s="3"/>
    </row>
    <row r="95" spans="1:17" s="5" customFormat="1" ht="22.25" customHeight="1" x14ac:dyDescent="0.15">
      <c r="A95" s="11"/>
      <c r="B95" s="12" t="s">
        <v>41</v>
      </c>
      <c r="C95" s="35">
        <v>3000</v>
      </c>
      <c r="D95" s="35">
        <v>2000</v>
      </c>
      <c r="E95" s="35">
        <v>3000</v>
      </c>
      <c r="F95" s="35"/>
      <c r="G95" s="35"/>
      <c r="H95" s="35"/>
      <c r="I95" s="35"/>
      <c r="J95" s="35"/>
      <c r="K95" s="35"/>
      <c r="L95" s="35"/>
      <c r="M95" s="35"/>
      <c r="N95" s="35"/>
      <c r="O95" s="35">
        <f>SUM(tblFinancial[[#This Row],[JAN]:[DEC]])</f>
        <v>8000</v>
      </c>
      <c r="P95" s="13"/>
      <c r="Q95" s="3"/>
    </row>
    <row r="96" spans="1:17" s="5" customFormat="1" ht="22.25" customHeight="1" x14ac:dyDescent="0.15">
      <c r="A96" s="11"/>
      <c r="B96" s="12" t="s">
        <v>42</v>
      </c>
      <c r="C96" s="35">
        <v>75</v>
      </c>
      <c r="D96" s="35">
        <v>75</v>
      </c>
      <c r="E96" s="35">
        <v>75</v>
      </c>
      <c r="F96" s="35"/>
      <c r="G96" s="35"/>
      <c r="H96" s="35"/>
      <c r="I96" s="35"/>
      <c r="J96" s="35"/>
      <c r="K96" s="35"/>
      <c r="L96" s="35"/>
      <c r="M96" s="35"/>
      <c r="N96" s="35"/>
      <c r="O96" s="35">
        <f>SUM(tblFinancial[[#This Row],[JAN]:[DEC]])</f>
        <v>225</v>
      </c>
      <c r="P96" s="13"/>
      <c r="Q96" s="3"/>
    </row>
    <row r="97" spans="1:17" s="5" customFormat="1" ht="22.25" customHeight="1" x14ac:dyDescent="0.15">
      <c r="A97" s="11"/>
      <c r="B97" s="12" t="s">
        <v>43</v>
      </c>
      <c r="C97" s="35"/>
      <c r="D97" s="35"/>
      <c r="E97" s="35"/>
      <c r="F97" s="35"/>
      <c r="G97" s="35"/>
      <c r="H97" s="35"/>
      <c r="I97" s="35"/>
      <c r="J97" s="35"/>
      <c r="K97" s="35"/>
      <c r="L97" s="35"/>
      <c r="M97" s="35"/>
      <c r="N97" s="35"/>
      <c r="O97" s="35">
        <f>SUM(tblFinancial[[#This Row],[JAN]:[DEC]])</f>
        <v>0</v>
      </c>
      <c r="P97" s="13"/>
      <c r="Q97" s="3"/>
    </row>
    <row r="98" spans="1:17" ht="22.25" customHeight="1" x14ac:dyDescent="0.15">
      <c r="B98" s="12" t="s">
        <v>44</v>
      </c>
      <c r="C98" s="35">
        <v>32</v>
      </c>
      <c r="D98" s="35">
        <v>34</v>
      </c>
      <c r="E98" s="35">
        <v>1</v>
      </c>
      <c r="F98" s="35"/>
      <c r="G98" s="35"/>
      <c r="H98" s="35"/>
      <c r="I98" s="35"/>
      <c r="J98" s="35"/>
      <c r="K98" s="35"/>
      <c r="L98" s="35"/>
      <c r="M98" s="35"/>
      <c r="N98" s="35"/>
      <c r="O98" s="35">
        <f>SUM(tblFinancial[[#This Row],[JAN]:[DEC]])</f>
        <v>67</v>
      </c>
      <c r="P98" s="13"/>
    </row>
    <row r="99" spans="1:17" s="22" customFormat="1" ht="22.25" customHeight="1" x14ac:dyDescent="0.2">
      <c r="A99" s="18"/>
      <c r="B99" s="12" t="s">
        <v>48</v>
      </c>
      <c r="C99" s="35">
        <f>SUBTOTAL(109,tblFinancial[JAN])</f>
        <v>3107</v>
      </c>
      <c r="D99" s="35">
        <f>SUBTOTAL(109,tblFinancial[FEB])</f>
        <v>2109</v>
      </c>
      <c r="E99" s="35">
        <f>SUBTOTAL(109,tblFinancial[MAR])</f>
        <v>3076</v>
      </c>
      <c r="F99" s="35">
        <f>SUBTOTAL(109,tblFinancial[APR])</f>
        <v>0</v>
      </c>
      <c r="G99" s="35">
        <f>SUBTOTAL(109,tblFinancial[MAY])</f>
        <v>0</v>
      </c>
      <c r="H99" s="35">
        <f>SUBTOTAL(109,tblFinancial[JUN])</f>
        <v>0</v>
      </c>
      <c r="I99" s="35">
        <f>SUBTOTAL(109,tblFinancial[JUL])</f>
        <v>0</v>
      </c>
      <c r="J99" s="35">
        <f>SUBTOTAL(109,tblFinancial[AUG])</f>
        <v>0</v>
      </c>
      <c r="K99" s="35">
        <f>SUBTOTAL(109,tblFinancial[SEP])</f>
        <v>0</v>
      </c>
      <c r="L99" s="35">
        <f>SUBTOTAL(109,tblFinancial[OCT])</f>
        <v>0</v>
      </c>
      <c r="M99" s="35">
        <f>SUBTOTAL(109,tblFinancial[NOV])</f>
        <v>0</v>
      </c>
      <c r="N99" s="35">
        <f>SUBTOTAL(109,tblFinancial[DEC])</f>
        <v>0</v>
      </c>
      <c r="O99" s="35">
        <f>SUBTOTAL(109,tblFinancial[YEAR])</f>
        <v>8292</v>
      </c>
      <c r="P99" s="14"/>
      <c r="Q99" s="20"/>
    </row>
    <row r="100" spans="1:17" s="5" customFormat="1" ht="22" customHeight="1" x14ac:dyDescent="0.15">
      <c r="A100" s="11"/>
      <c r="B100" s="3"/>
      <c r="C100" s="4"/>
      <c r="D100" s="4"/>
      <c r="E100" s="4"/>
      <c r="F100" s="4"/>
      <c r="G100" s="4"/>
      <c r="H100" s="4"/>
      <c r="I100" s="4"/>
      <c r="J100" s="4"/>
      <c r="K100" s="4"/>
      <c r="L100" s="4"/>
      <c r="M100" s="4"/>
      <c r="N100" s="4"/>
      <c r="O100" s="4"/>
      <c r="P100" s="3"/>
      <c r="Q100" s="3"/>
    </row>
    <row r="101" spans="1:17" s="5" customFormat="1" ht="30" customHeight="1" x14ac:dyDescent="0.15">
      <c r="A101" s="11"/>
      <c r="B101" s="19" t="s">
        <v>58</v>
      </c>
      <c r="C101" s="33" t="s">
        <v>60</v>
      </c>
      <c r="D101" s="33" t="s">
        <v>61</v>
      </c>
      <c r="E101" s="33" t="s">
        <v>63</v>
      </c>
      <c r="F101" s="33" t="s">
        <v>64</v>
      </c>
      <c r="G101" s="33" t="s">
        <v>62</v>
      </c>
      <c r="H101" s="33" t="s">
        <v>65</v>
      </c>
      <c r="I101" s="33" t="s">
        <v>66</v>
      </c>
      <c r="J101" s="33" t="s">
        <v>67</v>
      </c>
      <c r="K101" s="33" t="s">
        <v>68</v>
      </c>
      <c r="L101" s="33" t="s">
        <v>69</v>
      </c>
      <c r="M101" s="33" t="s">
        <v>70</v>
      </c>
      <c r="N101" s="33" t="s">
        <v>71</v>
      </c>
      <c r="O101" s="33" t="s">
        <v>72</v>
      </c>
      <c r="P101" s="34" t="s">
        <v>75</v>
      </c>
      <c r="Q101" s="3"/>
    </row>
    <row r="102" spans="1:17" s="5" customFormat="1" ht="22.25" customHeight="1" x14ac:dyDescent="0.15">
      <c r="A102" s="11"/>
      <c r="B102" s="15" t="s">
        <v>45</v>
      </c>
      <c r="C102" s="35"/>
      <c r="D102" s="35"/>
      <c r="E102" s="35"/>
      <c r="F102" s="35"/>
      <c r="G102" s="35"/>
      <c r="H102" s="35"/>
      <c r="I102" s="35"/>
      <c r="J102" s="35"/>
      <c r="K102" s="35"/>
      <c r="L102" s="35"/>
      <c r="M102" s="35"/>
      <c r="N102" s="35"/>
      <c r="O102" s="35">
        <f>SUM(tblMisc[[#This Row],[JAN]:[DEC]])</f>
        <v>0</v>
      </c>
      <c r="P102" s="13"/>
      <c r="Q102" s="3"/>
    </row>
    <row r="103" spans="1:17" s="5" customFormat="1" ht="22.25" customHeight="1" x14ac:dyDescent="0.15">
      <c r="A103" s="11"/>
      <c r="B103" s="15" t="s">
        <v>45</v>
      </c>
      <c r="C103" s="35"/>
      <c r="D103" s="35"/>
      <c r="E103" s="35"/>
      <c r="F103" s="35"/>
      <c r="G103" s="35"/>
      <c r="H103" s="35"/>
      <c r="I103" s="35"/>
      <c r="J103" s="35"/>
      <c r="K103" s="35"/>
      <c r="L103" s="35"/>
      <c r="M103" s="35"/>
      <c r="N103" s="35"/>
      <c r="O103" s="35">
        <f>SUM(tblMisc[[#This Row],[JAN]:[DEC]])</f>
        <v>0</v>
      </c>
      <c r="P103" s="13"/>
      <c r="Q103" s="3"/>
    </row>
    <row r="104" spans="1:17" s="5" customFormat="1" ht="22.25" customHeight="1" x14ac:dyDescent="0.15">
      <c r="A104" s="11"/>
      <c r="B104" s="15" t="s">
        <v>45</v>
      </c>
      <c r="C104" s="35"/>
      <c r="D104" s="35"/>
      <c r="E104" s="35"/>
      <c r="F104" s="35"/>
      <c r="G104" s="35"/>
      <c r="H104" s="35"/>
      <c r="I104" s="35"/>
      <c r="J104" s="35"/>
      <c r="K104" s="35"/>
      <c r="L104" s="35"/>
      <c r="M104" s="35"/>
      <c r="N104" s="35"/>
      <c r="O104" s="35">
        <f>SUM(tblMisc[[#This Row],[JAN]:[DEC]])</f>
        <v>0</v>
      </c>
      <c r="P104" s="13"/>
      <c r="Q104" s="3"/>
    </row>
    <row r="105" spans="1:17" s="5" customFormat="1" ht="22.25" customHeight="1" x14ac:dyDescent="0.15">
      <c r="A105" s="11"/>
      <c r="B105" s="15" t="s">
        <v>45</v>
      </c>
      <c r="C105" s="35"/>
      <c r="D105" s="35"/>
      <c r="E105" s="35"/>
      <c r="F105" s="35"/>
      <c r="G105" s="35"/>
      <c r="H105" s="35"/>
      <c r="I105" s="35"/>
      <c r="J105" s="35"/>
      <c r="K105" s="35"/>
      <c r="L105" s="35"/>
      <c r="M105" s="35"/>
      <c r="N105" s="35"/>
      <c r="O105" s="35">
        <f>SUM(tblMisc[[#This Row],[JAN]:[DEC]])</f>
        <v>0</v>
      </c>
      <c r="P105" s="13"/>
      <c r="Q105" s="3"/>
    </row>
    <row r="106" spans="1:17" ht="22.25" customHeight="1" x14ac:dyDescent="0.15">
      <c r="B106" s="15" t="s">
        <v>45</v>
      </c>
      <c r="C106" s="35"/>
      <c r="D106" s="35"/>
      <c r="E106" s="35"/>
      <c r="F106" s="35"/>
      <c r="G106" s="35"/>
      <c r="H106" s="35"/>
      <c r="I106" s="35"/>
      <c r="J106" s="35"/>
      <c r="K106" s="35"/>
      <c r="L106" s="35"/>
      <c r="M106" s="35"/>
      <c r="N106" s="35"/>
      <c r="O106" s="35">
        <f>SUM(tblMisc[[#This Row],[JAN]:[DEC]])</f>
        <v>0</v>
      </c>
      <c r="P106" s="13"/>
    </row>
    <row r="107" spans="1:17" s="23" customFormat="1" ht="22.25" customHeight="1" x14ac:dyDescent="0.2">
      <c r="A107" s="16"/>
      <c r="B107" s="12" t="s">
        <v>48</v>
      </c>
      <c r="C107" s="35">
        <f>SUBTOTAL(109,tblMisc[JAN])</f>
        <v>0</v>
      </c>
      <c r="D107" s="35">
        <f>SUBTOTAL(109,tblMisc[FEB])</f>
        <v>0</v>
      </c>
      <c r="E107" s="35">
        <f>SUBTOTAL(109,tblMisc[MAR])</f>
        <v>0</v>
      </c>
      <c r="F107" s="35">
        <f>SUBTOTAL(109,tblMisc[APR])</f>
        <v>0</v>
      </c>
      <c r="G107" s="35">
        <f>SUBTOTAL(109,tblMisc[MAY])</f>
        <v>0</v>
      </c>
      <c r="H107" s="35">
        <f>SUBTOTAL(109,tblMisc[JUN])</f>
        <v>0</v>
      </c>
      <c r="I107" s="35">
        <f>SUBTOTAL(109,tblMisc[JUL])</f>
        <v>0</v>
      </c>
      <c r="J107" s="35">
        <f>SUBTOTAL(109,tblMisc[AUG])</f>
        <v>0</v>
      </c>
      <c r="K107" s="35">
        <f>SUBTOTAL(109,tblMisc[SEP])</f>
        <v>0</v>
      </c>
      <c r="L107" s="35">
        <f>SUBTOTAL(109,tblMisc[OCT])</f>
        <v>0</v>
      </c>
      <c r="M107" s="35">
        <f>SUBTOTAL(109,tblMisc[NOV])</f>
        <v>0</v>
      </c>
      <c r="N107" s="35">
        <f>SUBTOTAL(109,tblMisc[DEC])</f>
        <v>0</v>
      </c>
      <c r="O107" s="35">
        <f>SUBTOTAL(109,tblMisc[YEAR])</f>
        <v>0</v>
      </c>
      <c r="P107" s="14"/>
      <c r="Q107" s="17"/>
    </row>
    <row r="108" spans="1:17" ht="22" customHeight="1" x14ac:dyDescent="0.15">
      <c r="B108" s="3"/>
      <c r="C108" s="4"/>
      <c r="D108" s="4"/>
      <c r="E108" s="4"/>
      <c r="F108" s="4"/>
      <c r="G108" s="4"/>
      <c r="H108" s="4"/>
      <c r="I108" s="4"/>
      <c r="J108" s="4"/>
      <c r="K108" s="4"/>
      <c r="L108" s="4"/>
      <c r="M108" s="4"/>
      <c r="N108" s="4"/>
      <c r="O108" s="4"/>
      <c r="P108" s="3"/>
    </row>
    <row r="109" spans="1:17" ht="30" customHeight="1" x14ac:dyDescent="0.15">
      <c r="B109" s="24" t="s">
        <v>59</v>
      </c>
      <c r="C109" s="25" t="s">
        <v>60</v>
      </c>
      <c r="D109" s="26" t="s">
        <v>61</v>
      </c>
      <c r="E109" s="25" t="s">
        <v>63</v>
      </c>
      <c r="F109" s="26" t="s">
        <v>64</v>
      </c>
      <c r="G109" s="25" t="s">
        <v>62</v>
      </c>
      <c r="H109" s="26" t="s">
        <v>65</v>
      </c>
      <c r="I109" s="25" t="s">
        <v>66</v>
      </c>
      <c r="J109" s="26" t="s">
        <v>67</v>
      </c>
      <c r="K109" s="25" t="s">
        <v>68</v>
      </c>
      <c r="L109" s="26" t="s">
        <v>69</v>
      </c>
      <c r="M109" s="25" t="s">
        <v>70</v>
      </c>
      <c r="N109" s="26" t="s">
        <v>71</v>
      </c>
      <c r="O109" s="25" t="s">
        <v>72</v>
      </c>
      <c r="P109" s="24" t="s">
        <v>75</v>
      </c>
    </row>
    <row r="110" spans="1:17" ht="22" customHeight="1" x14ac:dyDescent="0.15">
      <c r="B110" s="6" t="s">
        <v>46</v>
      </c>
      <c r="C110" s="36">
        <f>SUM(tblMisc[[#Totals],[JAN]],tblFinancial[[#Totals],[JAN]],tblPersonal[[#Totals],[JAN]],tblDues[[#Totals],[JAN]],tblRecreation[[#Totals],[JAN]],tblVacations[[#Totals],[JAN]],tblHealth[[#Totals],[JAN]],tblEntertainment[[#Totals],[JAN]],tblTransportation[[#Totals],[JAN]],tblDaily[[#Totals],[JAN]],tblHome[[#Totals],[JAN]])</f>
        <v>8738</v>
      </c>
      <c r="D110" s="37">
        <f>SUM(tblMisc[[#Totals],[FEB]],tblFinancial[[#Totals],[FEB]],tblPersonal[[#Totals],[FEB]],tblDues[[#Totals],[FEB]],tblRecreation[[#Totals],[FEB]],tblVacations[[#Totals],[FEB]],tblHealth[[#Totals],[FEB]],tblEntertainment[[#Totals],[FEB]],tblTransportation[[#Totals],[FEB]],tblDaily[[#Totals],[FEB]],tblHome[[#Totals],[FEB]])</f>
        <v>8433</v>
      </c>
      <c r="E110" s="36">
        <f>SUM(tblMisc[[#Totals],[MAR]],tblFinancial[[#Totals],[MAR]],tblPersonal[[#Totals],[MAR]],tblDues[[#Totals],[MAR]],tblRecreation[[#Totals],[MAR]],tblVacations[[#Totals],[MAR]],tblHealth[[#Totals],[MAR]],tblEntertainment[[#Totals],[MAR]],tblTransportation[[#Totals],[MAR]],tblDaily[[#Totals],[MAR]],tblHome[[#Totals],[MAR]])</f>
        <v>8692</v>
      </c>
      <c r="F110" s="37">
        <f>SUM(tblMisc[[#Totals],[APR]],tblFinancial[[#Totals],[APR]],tblPersonal[[#Totals],[APR]],tblDues[[#Totals],[APR]],tblRecreation[[#Totals],[APR]],tblVacations[[#Totals],[APR]],tblHealth[[#Totals],[APR]],tblEntertainment[[#Totals],[APR]],tblTransportation[[#Totals],[APR]],tblDaily[[#Totals],[APR]],tblHome[[#Totals],[APR]])</f>
        <v>0</v>
      </c>
      <c r="G110" s="36">
        <f>SUM(tblMisc[[#Totals],[MAY]],tblFinancial[[#Totals],[MAY]],tblPersonal[[#Totals],[MAY]],tblDues[[#Totals],[MAY]],tblRecreation[[#Totals],[MAY]],tblVacations[[#Totals],[MAY]],tblHealth[[#Totals],[MAY]],tblEntertainment[[#Totals],[MAY]],tblTransportation[[#Totals],[MAY]],tblDaily[[#Totals],[MAY]],tblHome[[#Totals],[MAY]])</f>
        <v>0</v>
      </c>
      <c r="H110" s="37">
        <f>SUM(tblMisc[[#Totals],[JUN]],tblFinancial[[#Totals],[JUN]],tblPersonal[[#Totals],[JUN]],tblDues[[#Totals],[JUN]],tblRecreation[[#Totals],[JUN]],tblVacations[[#Totals],[JUN]],tblHealth[[#Totals],[JUN]],tblEntertainment[[#Totals],[JUN]],tblTransportation[[#Totals],[JUN]],tblDaily[[#Totals],[JUN]],tblHome[[#Totals],[JUN]])</f>
        <v>0</v>
      </c>
      <c r="I110" s="36">
        <f>SUM(tblMisc[[#Totals],[JUL]],tblFinancial[[#Totals],[JUL]],tblPersonal[[#Totals],[JUL]],tblDues[[#Totals],[JUL]],tblRecreation[[#Totals],[JUL]],tblVacations[[#Totals],[JUL]],tblHealth[[#Totals],[JUL]],tblEntertainment[[#Totals],[JUL]],tblTransportation[[#Totals],[JUL]],tblDaily[[#Totals],[JUL]],tblHome[[#Totals],[JUL]])</f>
        <v>0</v>
      </c>
      <c r="J110" s="37">
        <f>SUM(tblMisc[[#Totals],[AUG]],tblFinancial[[#Totals],[AUG]],tblPersonal[[#Totals],[AUG]],tblDues[[#Totals],[AUG]],tblRecreation[[#Totals],[AUG]],tblVacations[[#Totals],[AUG]],tblHealth[[#Totals],[AUG]],tblEntertainment[[#Totals],[AUG]],tblTransportation[[#Totals],[AUG]],tblDaily[[#Totals],[AUG]],tblHome[[#Totals],[AUG]])</f>
        <v>0</v>
      </c>
      <c r="K110" s="36">
        <f>SUM(tblMisc[[#Totals],[SEP]],tblFinancial[[#Totals],[SEP]],tblPersonal[[#Totals],[SEP]],tblDues[[#Totals],[SEP]],tblRecreation[[#Totals],[SEP]],tblVacations[[#Totals],[SEP]],tblHealth[[#Totals],[SEP]],tblEntertainment[[#Totals],[SEP]],tblTransportation[[#Totals],[SEP]],tblDaily[[#Totals],[SEP]],tblHome[[#Totals],[SEP]])</f>
        <v>0</v>
      </c>
      <c r="L110" s="37">
        <f>SUM(tblMisc[[#Totals],[OCT]],tblFinancial[[#Totals],[OCT]],tblPersonal[[#Totals],[OCT]],tblDues[[#Totals],[OCT]],tblRecreation[[#Totals],[OCT]],tblVacations[[#Totals],[OCT]],tblHealth[[#Totals],[OCT]],tblEntertainment[[#Totals],[OCT]],tblTransportation[[#Totals],[OCT]],tblDaily[[#Totals],[OCT]],tblHome[[#Totals],[OCT]])</f>
        <v>0</v>
      </c>
      <c r="M110" s="36">
        <f>SUM(tblMisc[[#Totals],[NOV]],tblFinancial[[#Totals],[NOV]],tblPersonal[[#Totals],[NOV]],tblDues[[#Totals],[NOV]],tblRecreation[[#Totals],[NOV]],tblVacations[[#Totals],[NOV]],tblHealth[[#Totals],[NOV]],tblEntertainment[[#Totals],[NOV]],tblTransportation[[#Totals],[NOV]],tblDaily[[#Totals],[NOV]],tblHome[[#Totals],[NOV]])</f>
        <v>0</v>
      </c>
      <c r="N110" s="37">
        <f>SUM(tblMisc[[#Totals],[DEC]],tblFinancial[[#Totals],[DEC]],tblPersonal[[#Totals],[DEC]],tblDues[[#Totals],[DEC]],tblRecreation[[#Totals],[DEC]],tblVacations[[#Totals],[DEC]],tblHealth[[#Totals],[DEC]],tblEntertainment[[#Totals],[DEC]],tblTransportation[[#Totals],[DEC]],tblDaily[[#Totals],[DEC]],tblHome[[#Totals],[DEC]])</f>
        <v>0</v>
      </c>
      <c r="O110" s="36" t="e">
        <f>SUM(tblMisc[[#Totals],[YEAR]],tblFinancial[[#Totals],[YEAR]],tblPersonal[[#Totals],[YEAR]],tblDues[[#Totals],[YEAR]],tblRecreation[[#Totals],[YEAR]],tblVacations[[#Totals],[YEAR]],tblHealth[[#Totals],[YEAR]],tblEntertainment[[#Totals],[YEAR]],tblTransportation[[#Totals],[YEAR]],tblDaily[[#Totals],[YEAR]],tblHome[[#Totals],[YEAR]])</f>
        <v>#VALUE!</v>
      </c>
      <c r="P110" s="7"/>
    </row>
    <row r="111" spans="1:17" ht="22" customHeight="1" x14ac:dyDescent="0.15">
      <c r="B111" s="6" t="s">
        <v>47</v>
      </c>
      <c r="C111" s="36">
        <f>tblIncome[[#Totals],[JAN]]-C110</f>
        <v>10985</v>
      </c>
      <c r="D111" s="37">
        <f>tblIncome[[#Totals],[FEB]]-D110</f>
        <v>15523</v>
      </c>
      <c r="E111" s="36">
        <f>tblIncome[[#Totals],[MAR]]-E110</f>
        <v>46352</v>
      </c>
      <c r="F111" s="37">
        <f>tblIncome[[#Totals],[APR]]-F110</f>
        <v>0</v>
      </c>
      <c r="G111" s="36">
        <f>tblIncome[[#Totals],[MAY]]-G110</f>
        <v>0</v>
      </c>
      <c r="H111" s="37">
        <f>tblIncome[[#Totals],[JUN]]-H110</f>
        <v>0</v>
      </c>
      <c r="I111" s="36">
        <f>tblIncome[[#Totals],[JUL]]-I110</f>
        <v>0</v>
      </c>
      <c r="J111" s="37">
        <f>tblIncome[[#Totals],[AUG]]-J110</f>
        <v>0</v>
      </c>
      <c r="K111" s="36">
        <f>tblIncome[[#Totals],[SEP]]-K110</f>
        <v>0</v>
      </c>
      <c r="L111" s="37">
        <f>tblIncome[[#Totals],[OCT]]-L110</f>
        <v>0</v>
      </c>
      <c r="M111" s="36">
        <f>tblIncome[[#Totals],[NOV]]-M110</f>
        <v>0</v>
      </c>
      <c r="N111" s="37">
        <f>tblIncome[[#Totals],[DEC]]-N110</f>
        <v>0</v>
      </c>
      <c r="O111" s="36" t="e">
        <f>tblIncome[[#Totals],[YEAR]]-O110</f>
        <v>#VALUE!</v>
      </c>
      <c r="P111" s="7"/>
    </row>
    <row r="113" spans="1:1" ht="22" customHeight="1" x14ac:dyDescent="0.15">
      <c r="A113" s="9"/>
    </row>
    <row r="114" spans="1:1" ht="22" customHeight="1" x14ac:dyDescent="0.15">
      <c r="A114" s="9"/>
    </row>
  </sheetData>
  <mergeCells count="1">
    <mergeCell ref="B2:P2"/>
  </mergeCells>
  <conditionalFormatting sqref="C111:O111">
    <cfRule type="cellIs" dxfId="15" priority="1" operator="lessThan">
      <formula>0</formula>
    </cfRule>
  </conditionalFormatting>
  <dataValidations count="1">
    <dataValidation allowBlank="1" showInputMessage="1" showErrorMessage="1" prompt="Manage your personal budget using this spreadsheet. Enter your income and expenses details in the tables below. Totals for each table are auto calculated. Summary for income vs total expenses starts at row 105._x000a_" sqref="A1" xr:uid="{F32C70B7-BEBC-4556-9D21-8DD3A3533DF2}"/>
  </dataValidations>
  <printOptions horizontalCentered="1"/>
  <pageMargins left="0.25" right="0.25" top="0.75" bottom="0.75" header="0.3" footer="0.3"/>
  <pageSetup fitToHeight="0" orientation="landscape" r:id="rId1"/>
  <headerFooter differentFirst="1"/>
  <ignoredErrors>
    <ignoredError sqref="C110:O110" calculatedColumn="1"/>
  </ignoredErrors>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05C60535-1F16-4fd2-B633-F4F36F0B64E0}">
      <x14:sparklineGroups xmlns:xm="http://schemas.microsoft.com/office/excel/2006/main">
        <x14:sparklineGroup displayEmptyCellsAs="gap" high="1" low="1" xr2:uid="{00000000-0003-0000-00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BUDGET'!C13:N13</xm:f>
              <xm:sqref>P13</xm:sqref>
            </x14:sparkline>
            <x14:sparkline>
              <xm:f>'PERSONAL BUDGET'!C14:N14</xm:f>
              <xm:sqref>P14</xm:sqref>
            </x14:sparkline>
            <x14:sparkline>
              <xm:f>'PERSONAL BUDGET'!C25:N25</xm:f>
              <xm:sqref>P25</xm:sqref>
            </x14:sparkline>
          </x14:sparklines>
        </x14:sparklineGroup>
        <x14:sparklineGroup displayEmptyCellsAs="gap" high="1" low="1" xr2:uid="{00000000-0003-0000-0000-000002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BUDGET'!C29:N29</xm:f>
              <xm:sqref>P29</xm:sqref>
            </x14:sparkline>
            <x14:sparkline>
              <xm:f>'PERSONAL BUDGET'!C30:N30</xm:f>
              <xm:sqref>P30</xm:sqref>
            </x14:sparkline>
            <x14:sparkline>
              <xm:f>'PERSONAL BUDGET'!C31:N31</xm:f>
              <xm:sqref>P31</xm:sqref>
            </x14:sparkline>
            <x14:sparkline>
              <xm:f>'PERSONAL BUDGET'!C32:N32</xm:f>
              <xm:sqref>P32</xm:sqref>
            </x14:sparkline>
            <x14:sparkline>
              <xm:f>'PERSONAL BUDGET'!C33:N33</xm:f>
              <xm:sqref>P33</xm:sqref>
            </x14:sparkline>
            <x14:sparkline>
              <xm:f>'PERSONAL BUDGET'!C34:N34</xm:f>
              <xm:sqref>P34</xm:sqref>
            </x14:sparkline>
          </x14:sparklines>
        </x14:sparklineGroup>
        <x14:sparklineGroup displayEmptyCellsAs="gap" high="1" low="1" xr2:uid="{00000000-0003-0000-0000-000003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BUDGET'!C37:N37</xm:f>
              <xm:sqref>P37</xm:sqref>
            </x14:sparkline>
            <x14:sparkline>
              <xm:f>'PERSONAL BUDGET'!C38:N38</xm:f>
              <xm:sqref>P38</xm:sqref>
            </x14:sparkline>
            <x14:sparkline>
              <xm:f>'PERSONAL BUDGET'!C39:N39</xm:f>
              <xm:sqref>P39</xm:sqref>
            </x14:sparkline>
            <x14:sparkline>
              <xm:f>'PERSONAL BUDGET'!C40:N40</xm:f>
              <xm:sqref>P40</xm:sqref>
            </x14:sparkline>
            <x14:sparkline>
              <xm:f>'PERSONAL BUDGET'!C41:N41</xm:f>
              <xm:sqref>P41</xm:sqref>
            </x14:sparkline>
            <x14:sparkline>
              <xm:f>'PERSONAL BUDGET'!C42:N42</xm:f>
              <xm:sqref>P42</xm:sqref>
            </x14:sparkline>
            <x14:sparkline>
              <xm:f>'PERSONAL BUDGET'!C43:N43</xm:f>
              <xm:sqref>P43</xm:sqref>
            </x14:sparkline>
          </x14:sparklines>
        </x14:sparklineGroup>
        <x14:sparklineGroup displayEmptyCellsAs="gap" high="1" low="1" xr2:uid="{00000000-0003-0000-0000-000004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BUDGET'!C46:N46</xm:f>
              <xm:sqref>P46</xm:sqref>
            </x14:sparkline>
            <x14:sparkline>
              <xm:f>'PERSONAL BUDGET'!C47:N47</xm:f>
              <xm:sqref>P47</xm:sqref>
            </x14:sparkline>
            <x14:sparkline>
              <xm:f>'PERSONAL BUDGET'!C48:N48</xm:f>
              <xm:sqref>P48</xm:sqref>
            </x14:sparkline>
            <x14:sparkline>
              <xm:f>'PERSONAL BUDGET'!C49:N49</xm:f>
              <xm:sqref>P49</xm:sqref>
            </x14:sparkline>
            <x14:sparkline>
              <xm:f>'PERSONAL BUDGET'!C50:N50</xm:f>
              <xm:sqref>P50</xm:sqref>
            </x14:sparkline>
          </x14:sparklines>
        </x14:sparklineGroup>
        <x14:sparklineGroup displayEmptyCellsAs="gap" high="1" low="1" xr2:uid="{00000000-0003-0000-0000-000005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BUDGET'!C53:N53</xm:f>
              <xm:sqref>P53</xm:sqref>
            </x14:sparkline>
            <x14:sparkline>
              <xm:f>'PERSONAL BUDGET'!C54:N54</xm:f>
              <xm:sqref>P54</xm:sqref>
            </x14:sparkline>
            <x14:sparkline>
              <xm:f>'PERSONAL BUDGET'!C55:N55</xm:f>
              <xm:sqref>P55</xm:sqref>
            </x14:sparkline>
            <x14:sparkline>
              <xm:f>'PERSONAL BUDGET'!C56:N56</xm:f>
              <xm:sqref>P56</xm:sqref>
            </x14:sparkline>
            <x14:sparkline>
              <xm:f>'PERSONAL BUDGET'!C57:N57</xm:f>
              <xm:sqref>P57</xm:sqref>
            </x14:sparkline>
            <x14:sparkline>
              <xm:f>'PERSONAL BUDGET'!C58:N58</xm:f>
              <xm:sqref>P58</xm:sqref>
            </x14:sparkline>
            <x14:sparkline>
              <xm:f>'PERSONAL BUDGET'!C59:N59</xm:f>
              <xm:sqref>P59</xm:sqref>
            </x14:sparkline>
            <x14:sparkline>
              <xm:f>'PERSONAL BUDGET'!C60:N60</xm:f>
              <xm:sqref>P60</xm:sqref>
            </x14:sparkline>
          </x14:sparklines>
        </x14:sparklineGroup>
        <x14:sparklineGroup displayEmptyCellsAs="gap" high="1" low="1" xr2:uid="{00000000-0003-0000-0000-000006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BUDGET'!C63:N63</xm:f>
              <xm:sqref>P63</xm:sqref>
            </x14:sparkline>
            <x14:sparkline>
              <xm:f>'PERSONAL BUDGET'!C64:N64</xm:f>
              <xm:sqref>P64</xm:sqref>
            </x14:sparkline>
            <x14:sparkline>
              <xm:f>'PERSONAL BUDGET'!C65:N65</xm:f>
              <xm:sqref>P65</xm:sqref>
            </x14:sparkline>
            <x14:sparkline>
              <xm:f>'PERSONAL BUDGET'!C66:N66</xm:f>
              <xm:sqref>P66</xm:sqref>
            </x14:sparkline>
            <x14:sparkline>
              <xm:f>'PERSONAL BUDGET'!C67:N67</xm:f>
              <xm:sqref>P67</xm:sqref>
            </x14:sparkline>
            <x14:sparkline>
              <xm:f>'PERSONAL BUDGET'!C68:N68</xm:f>
              <xm:sqref>P68</xm:sqref>
            </x14:sparkline>
            <x14:sparkline>
              <xm:f>'PERSONAL BUDGET'!C69:N69</xm:f>
              <xm:sqref>P69</xm:sqref>
            </x14:sparkline>
          </x14:sparklines>
        </x14:sparklineGroup>
        <x14:sparklineGroup displayEmptyCellsAs="gap" high="1" low="1" xr2:uid="{00000000-0003-0000-0000-000007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BUDGET'!C72:N72</xm:f>
              <xm:sqref>P72</xm:sqref>
            </x14:sparkline>
            <x14:sparkline>
              <xm:f>'PERSONAL BUDGET'!C73:N73</xm:f>
              <xm:sqref>P73</xm:sqref>
            </x14:sparkline>
            <x14:sparkline>
              <xm:f>'PERSONAL BUDGET'!C74:N74</xm:f>
              <xm:sqref>P74</xm:sqref>
            </x14:sparkline>
            <x14:sparkline>
              <xm:f>'PERSONAL BUDGET'!C75:N75</xm:f>
              <xm:sqref>P75</xm:sqref>
            </x14:sparkline>
            <x14:sparkline>
              <xm:f>'PERSONAL BUDGET'!C76:N76</xm:f>
              <xm:sqref>P76</xm:sqref>
            </x14:sparkline>
          </x14:sparklines>
        </x14:sparklineGroup>
        <x14:sparklineGroup displayEmptyCellsAs="gap" high="1" low="1" xr2:uid="{00000000-0003-0000-0000-000008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BUDGET'!C79:N79</xm:f>
              <xm:sqref>P79</xm:sqref>
            </x14:sparkline>
            <x14:sparkline>
              <xm:f>'PERSONAL BUDGET'!C80:N80</xm:f>
              <xm:sqref>P80</xm:sqref>
            </x14:sparkline>
            <x14:sparkline>
              <xm:f>'PERSONAL BUDGET'!C81:N81</xm:f>
              <xm:sqref>P81</xm:sqref>
            </x14:sparkline>
            <x14:sparkline>
              <xm:f>'PERSONAL BUDGET'!C82:N82</xm:f>
              <xm:sqref>P82</xm:sqref>
            </x14:sparkline>
            <x14:sparkline>
              <xm:f>'PERSONAL BUDGET'!C83:N83</xm:f>
              <xm:sqref>P83</xm:sqref>
            </x14:sparkline>
            <x14:sparkline>
              <xm:f>'PERSONAL BUDGET'!C84:N84</xm:f>
              <xm:sqref>P84</xm:sqref>
            </x14:sparkline>
          </x14:sparklines>
        </x14:sparklineGroup>
        <x14:sparklineGroup displayEmptyCellsAs="gap" high="1" low="1" xr2:uid="{00000000-0003-0000-0000-000009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BUDGET'!C87:N87</xm:f>
              <xm:sqref>P87</xm:sqref>
            </x14:sparkline>
            <x14:sparkline>
              <xm:f>'PERSONAL BUDGET'!C88:N88</xm:f>
              <xm:sqref>P88</xm:sqref>
            </x14:sparkline>
            <x14:sparkline>
              <xm:f>'PERSONAL BUDGET'!C89:N89</xm:f>
              <xm:sqref>P89</xm:sqref>
            </x14:sparkline>
            <x14:sparkline>
              <xm:f>'PERSONAL BUDGET'!C90:N90</xm:f>
              <xm:sqref>P90</xm:sqref>
            </x14:sparkline>
            <x14:sparkline>
              <xm:f>'PERSONAL BUDGET'!C91:N91</xm:f>
              <xm:sqref>P91</xm:sqref>
            </x14:sparkline>
            <x14:sparkline>
              <xm:f>'PERSONAL BUDGET'!C92:N92</xm:f>
              <xm:sqref>P92</xm:sqref>
            </x14:sparkline>
          </x14:sparklines>
        </x14:sparklineGroup>
        <x14:sparklineGroup displayEmptyCellsAs="gap" high="1" low="1" xr2:uid="{00000000-0003-0000-0000-00000A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BUDGET'!C95:N95</xm:f>
              <xm:sqref>P95</xm:sqref>
            </x14:sparkline>
            <x14:sparkline>
              <xm:f>'PERSONAL BUDGET'!C96:N96</xm:f>
              <xm:sqref>P96</xm:sqref>
            </x14:sparkline>
            <x14:sparkline>
              <xm:f>'PERSONAL BUDGET'!C97:N97</xm:f>
              <xm:sqref>P97</xm:sqref>
            </x14:sparkline>
            <x14:sparkline>
              <xm:f>'PERSONAL BUDGET'!C98:N98</xm:f>
              <xm:sqref>P98</xm:sqref>
            </x14:sparkline>
            <x14:sparkline>
              <xm:f>'PERSONAL BUDGET'!C99:N99</xm:f>
              <xm:sqref>P99</xm:sqref>
            </x14:sparkline>
          </x14:sparklines>
        </x14:sparklineGroup>
        <x14:sparklineGroup displayEmptyCellsAs="gap" markers="1" high="1" low="1" xr2:uid="{00000000-0003-0000-0000-00000B000000}">
          <x14:colorSeries theme="0"/>
          <x14:colorNegative theme="6"/>
          <x14:colorAxis rgb="FF000000"/>
          <x14:colorMarkers theme="0"/>
          <x14:colorFirst theme="5" tint="0.39997558519241921"/>
          <x14:colorLast theme="5" tint="0.39997558519241921"/>
          <x14:colorHigh theme="5"/>
          <x14:colorLow theme="5"/>
          <x14:sparklines>
            <x14:sparkline>
              <xm:f>'PERSONAL BUDGET'!C110:N110</xm:f>
              <xm:sqref>P110</xm:sqref>
            </x14:sparkline>
            <x14:sparkline>
              <xm:f>'PERSONAL BUDGET'!C111:N111</xm:f>
              <xm:sqref>P111</xm:sqref>
            </x14:sparkline>
          </x14:sparklines>
        </x14:sparklineGroup>
        <x14:sparklineGroup displayEmptyCellsAs="gap" high="1" low="1" xr2:uid="{00000000-0003-0000-0000-00000D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BUDGET'!C102:N102</xm:f>
              <xm:sqref>P102</xm:sqref>
            </x14:sparkline>
            <x14:sparkline>
              <xm:f>'PERSONAL BUDGET'!C103:N103</xm:f>
              <xm:sqref>P103</xm:sqref>
            </x14:sparkline>
            <x14:sparkline>
              <xm:f>'PERSONAL BUDGET'!C104:N104</xm:f>
              <xm:sqref>P104</xm:sqref>
            </x14:sparkline>
            <x14:sparkline>
              <xm:f>'PERSONAL BUDGET'!C105:N105</xm:f>
              <xm:sqref>P105</xm:sqref>
            </x14:sparkline>
            <x14:sparkline>
              <xm:f>'PERSONAL BUDGET'!C106:N106</xm:f>
              <xm:sqref>P106</xm:sqref>
            </x14:sparkline>
            <x14:sparkline>
              <xm:f>'PERSONAL BUDGET'!C107:N107</xm:f>
              <xm:sqref>P107</xm:sqref>
            </x14:sparkline>
          </x14:sparklines>
        </x14:sparklineGroup>
        <x14:sparklineGroup displayEmptyCellsAs="gap" high="1" low="1" xr2:uid="{00000000-0003-0000-0000-00000C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BUDGET'!C6:N6</xm:f>
              <xm:sqref>P6</xm:sqref>
            </x14:sparkline>
            <x14:sparkline>
              <xm:f>'PERSONAL BUDGET'!C7:N7</xm:f>
              <xm:sqref>P7</xm:sqref>
            </x14:sparkline>
            <x14:sparkline>
              <xm:f>'PERSONAL BUDGET'!C8:N8</xm:f>
              <xm:sqref>P8</xm:sqref>
            </x14:sparkline>
            <x14:sparkline>
              <xm:f>'PERSONAL BUDGET'!C9:N9</xm:f>
              <xm:sqref>P9</xm:sqref>
            </x14:sparkline>
          </x14:sparklines>
        </x14:sparklineGroup>
        <x14:sparklineGroup displayEmptyCellsAs="gap" high="1" low="1" xr2:uid="{F3DCCE8A-B4F3-3F4F-AC55-A51DEA27107C}">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BUDGET'!C15:N15</xm:f>
              <xm:sqref>P15</xm:sqref>
            </x14:sparkline>
            <x14:sparkline>
              <xm:f>'PERSONAL BUDGET'!C16:N16</xm:f>
              <xm:sqref>P16</xm:sqref>
            </x14:sparkline>
            <x14:sparkline>
              <xm:f>'PERSONAL BUDGET'!C17:N17</xm:f>
              <xm:sqref>P17</xm:sqref>
            </x14:sparkline>
            <x14:sparkline>
              <xm:f>'PERSONAL BUDGET'!C18:N18</xm:f>
              <xm:sqref>P18</xm:sqref>
            </x14:sparkline>
            <x14:sparkline>
              <xm:f>'PERSONAL BUDGET'!C19:N19</xm:f>
              <xm:sqref>P19</xm:sqref>
            </x14:sparkline>
          </x14:sparklines>
        </x14:sparklineGroup>
        <x14:sparklineGroup displayEmptyCellsAs="gap" high="1" low="1" xr2:uid="{6120AB03-88AE-BA43-B625-7C7D20694EEB}">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BUDGET'!C20:N20</xm:f>
              <xm:sqref>P20</xm:sqref>
            </x14:sparkline>
            <x14:sparkline>
              <xm:f>'PERSONAL BUDGET'!C21:N21</xm:f>
              <xm:sqref>P21</xm:sqref>
            </x14:sparkline>
            <x14:sparkline>
              <xm:f>'PERSONAL BUDGET'!C22:N22</xm:f>
              <xm:sqref>P22</xm:sqref>
            </x14:sparkline>
            <x14:sparkline>
              <xm:f>'PERSONAL BUDGET'!C23:N23</xm:f>
              <xm:sqref>P23</xm:sqref>
            </x14:sparkline>
            <x14:sparkline>
              <xm:f>'PERSONAL BUDGET'!C24:N24</xm:f>
              <xm:sqref>P24</xm:sqref>
            </x14:sparkline>
          </x14:sparklines>
        </x14:sparklineGroup>
        <x14:sparklineGroup displayEmptyCellsAs="gap" high="1" low="1" xr2:uid="{5EBD259E-FDE9-6B41-9AD7-06F519FF1AB8}">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BUDGET'!C28:N28</xm:f>
              <xm:sqref>P28</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F2BFB-A3F6-42EF-82A3-18ADC5F18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016F9-7015-43E2-8C51-8C9B031A291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61C4CF09-E16C-491E-896B-59FA5BAACD58}">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TM04035483</Templat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Abayomi Mosaku</cp:lastModifiedBy>
  <dcterms:created xsi:type="dcterms:W3CDTF">2023-08-15T09:07:42Z</dcterms:created>
  <dcterms:modified xsi:type="dcterms:W3CDTF">2025-12-31T16:57:13Z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